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普高組" sheetId="1" r:id="rId4"/>
    <sheet state="visible" name="技高組" sheetId="2" r:id="rId5"/>
    <sheet state="visible" name="五專組" sheetId="3" r:id="rId6"/>
  </sheets>
  <definedNames/>
  <calcPr/>
</workbook>
</file>

<file path=xl/sharedStrings.xml><?xml version="1.0" encoding="utf-8"?>
<sst xmlns="http://schemas.openxmlformats.org/spreadsheetml/2006/main" count="2487" uniqueCount="14">
  <si>
    <r>
      <rPr>
        <rFont val="Microsoft JhengHei"/>
        <b/>
        <color theme="1"/>
        <sz val="13.0"/>
      </rPr>
      <t xml:space="preserve">【普高組】 最終得獎名單 
</t>
    </r>
    <r>
      <rPr>
        <rFont val="Microsoft JhengHei"/>
        <b/>
        <color theme="1"/>
        <sz val="11.0"/>
      </rPr>
      <t xml:space="preserve">🔊搜尋名單小訣竅：按 Ctrl + F 搜尋學校名稱或關鍵字
複查期已於 8/15 結束，不再提供成績複查及資料修改服務
</t>
    </r>
    <r>
      <rPr>
        <rFont val="Microsoft JhengHei"/>
        <b val="0"/>
        <color theme="1"/>
        <sz val="11.0"/>
      </rPr>
      <t xml:space="preserve">
</t>
    </r>
    <r>
      <rPr>
        <rFont val="Microsoft JhengHei"/>
        <b/>
        <color rgb="FFFF0000"/>
        <sz val="11.0"/>
      </rPr>
      <t xml:space="preserve">⚠️ 商品卡得獎者注意！
</t>
    </r>
    <r>
      <rPr>
        <rFont val="Microsoft JhengHei"/>
        <b val="0"/>
        <color rgb="FFFF0000"/>
        <sz val="11.0"/>
      </rPr>
      <t xml:space="preserve">為配合報稅，商品卡得獎者須提供身分證字號及基本資料，以利彙整與寄送。
</t>
    </r>
    <r>
      <rPr>
        <rFont val="Microsoft JhengHei"/>
        <b/>
        <color rgb="FFFF0000"/>
        <sz val="11.0"/>
      </rPr>
      <t>線上調查表：</t>
    </r>
    <r>
      <rPr>
        <rFont val="Microsoft JhengHei"/>
        <b val="0"/>
        <color rgb="FFFF0000"/>
        <sz val="11.0"/>
      </rPr>
      <t xml:space="preserve">今日寄到您的報名信箱，8/25 前回傳
</t>
    </r>
    <r>
      <rPr>
        <rFont val="Microsoft JhengHei"/>
        <b/>
        <color rgb="FFFF0000"/>
        <sz val="11.0"/>
      </rPr>
      <t>實體簽收單：</t>
    </r>
    <r>
      <rPr>
        <rFont val="Microsoft JhengHei"/>
        <b val="0"/>
        <color rgb="FFFF0000"/>
        <sz val="11.0"/>
      </rPr>
      <t>九月上旬寄到各校，9/19 前回傳
請在指定期限內回傳資料，逾期視同放棄領獎（以表單傳送時間為準）。
商品卡將待所有得獎者資料齊備後統一寄出，敬請及早回覆，以免延誤寄送。</t>
    </r>
  </si>
  <si>
    <t>組別</t>
  </si>
  <si>
    <t>姓名</t>
  </si>
  <si>
    <t>信箱</t>
  </si>
  <si>
    <t>學校</t>
  </si>
  <si>
    <t>科系</t>
  </si>
  <si>
    <t>年級</t>
  </si>
  <si>
    <t>獎項</t>
  </si>
  <si>
    <t>備註</t>
  </si>
  <si>
    <t>普高組</t>
  </si>
  <si>
    <r>
      <rPr>
        <rFont val="Microsoft JhengHei"/>
        <b/>
        <color theme="1"/>
        <sz val="13.0"/>
      </rPr>
      <t xml:space="preserve">【技高組】 最終得獎名單 
</t>
    </r>
    <r>
      <rPr>
        <rFont val="Microsoft JhengHei"/>
        <b/>
        <color theme="1"/>
        <sz val="11.0"/>
      </rPr>
      <t xml:space="preserve">🔊搜尋名單小訣竅：按 Ctrl + F 搜尋學校名稱或關鍵字
複查期已於 8/15 結束，不再提供成績複查及資料修改服務
</t>
    </r>
    <r>
      <rPr>
        <rFont val="Microsoft JhengHei"/>
        <b val="0"/>
        <color theme="1"/>
        <sz val="11.0"/>
      </rPr>
      <t xml:space="preserve">
</t>
    </r>
    <r>
      <rPr>
        <rFont val="Microsoft JhengHei"/>
        <b/>
        <color rgb="FFFF0000"/>
        <sz val="11.0"/>
      </rPr>
      <t xml:space="preserve">⚠️ 商品卡得獎者注意！
</t>
    </r>
    <r>
      <rPr>
        <rFont val="Microsoft JhengHei"/>
        <b val="0"/>
        <color rgb="FFFF0000"/>
        <sz val="11.0"/>
      </rPr>
      <t xml:space="preserve">為配合報稅，商品卡得獎者須提供身分證字號及基本資料，以利彙整與寄送。
</t>
    </r>
    <r>
      <rPr>
        <rFont val="Microsoft JhengHei"/>
        <b/>
        <color rgb="FFFF0000"/>
        <sz val="11.0"/>
      </rPr>
      <t>線上調查表：</t>
    </r>
    <r>
      <rPr>
        <rFont val="Microsoft JhengHei"/>
        <b val="0"/>
        <color rgb="FFFF0000"/>
        <sz val="11.0"/>
      </rPr>
      <t xml:space="preserve">今日寄到您的報名信箱，8/25 前回傳
</t>
    </r>
    <r>
      <rPr>
        <rFont val="Microsoft JhengHei"/>
        <b/>
        <color rgb="FFFF0000"/>
        <sz val="11.0"/>
      </rPr>
      <t>實體簽收單：</t>
    </r>
    <r>
      <rPr>
        <rFont val="Microsoft JhengHei"/>
        <b val="0"/>
        <color rgb="FFFF0000"/>
        <sz val="11.0"/>
      </rPr>
      <t>九月上旬寄到各校，9/19 前回傳
請在指定期限內回傳資料，逾期視同放棄領獎（以表單傳送時間為準）。
商品卡將待所有得獎者資料齊備後統一寄出，敬請及早回覆，以免延誤寄送。</t>
    </r>
  </si>
  <si>
    <t>技高組</t>
  </si>
  <si>
    <r>
      <rPr>
        <rFont val="Microsoft JhengHei"/>
        <b/>
        <color theme="1"/>
        <sz val="13.0"/>
      </rPr>
      <t xml:space="preserve">【五專組】 最終得獎名單 
</t>
    </r>
    <r>
      <rPr>
        <rFont val="Microsoft JhengHei"/>
        <b/>
        <color theme="1"/>
        <sz val="11.0"/>
      </rPr>
      <t xml:space="preserve">🔊搜尋名單小訣竅：按 Ctrl + F 搜尋學校名稱或關鍵字
複查期已於 8/15 結束，不再提供成績複查及資料修改服務
</t>
    </r>
    <r>
      <rPr>
        <rFont val="Microsoft JhengHei"/>
        <b val="0"/>
        <color theme="1"/>
        <sz val="11.0"/>
      </rPr>
      <t xml:space="preserve">
</t>
    </r>
    <r>
      <rPr>
        <rFont val="Microsoft JhengHei"/>
        <b/>
        <color rgb="FFFF0000"/>
        <sz val="11.0"/>
      </rPr>
      <t xml:space="preserve">⚠️ 商品卡得獎者注意！
</t>
    </r>
    <r>
      <rPr>
        <rFont val="Microsoft JhengHei"/>
        <b val="0"/>
        <color rgb="FFFF0000"/>
        <sz val="11.0"/>
      </rPr>
      <t xml:space="preserve">為配合報稅，商品卡得獎者須提供身分證字號及基本資料，以利彙整與寄送。
</t>
    </r>
    <r>
      <rPr>
        <rFont val="Microsoft JhengHei"/>
        <b/>
        <color rgb="FFFF0000"/>
        <sz val="11.0"/>
      </rPr>
      <t>線上調查表：</t>
    </r>
    <r>
      <rPr>
        <rFont val="Microsoft JhengHei"/>
        <b val="0"/>
        <color rgb="FFFF0000"/>
        <sz val="11.0"/>
      </rPr>
      <t xml:space="preserve">今日寄到您的報名信箱，8/25 前回傳
</t>
    </r>
    <r>
      <rPr>
        <rFont val="Microsoft JhengHei"/>
        <b/>
        <color rgb="FFFF0000"/>
        <sz val="11.0"/>
      </rPr>
      <t>實體簽收單：</t>
    </r>
    <r>
      <rPr>
        <rFont val="Microsoft JhengHei"/>
        <b val="0"/>
        <color rgb="FFFF0000"/>
        <sz val="11.0"/>
      </rPr>
      <t>九月上旬寄到各校，9/19 前回傳
請在指定期限內回傳資料，逾期視同放棄領獎（以表單傳送時間為準）。
商品卡將待所有得獎者資料齊備後統一寄出，敬請及早回覆，以免延誤寄送。</t>
    </r>
  </si>
  <si>
    <t>五專組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</si>
</sst>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Microsoft JhengHei"/>
    </font>
    <font>
      <b/>
      <sz val="11.0"/>
      <color rgb="FF000000"/>
      <name val="Microsoft JhengHei"/>
    </font>
    <font>
      <color theme="1"/>
      <name val="Microsoft JhengHei"/>
    </font>
    <font>
      <color rgb="FF000000"/>
      <name val="Microsoft JhengHei"/>
    </font>
    <font>
      <b/>
      <color rgb="FFFF0000"/>
      <name val="Microsoft JhengHei"/>
    </font>
  </fonts>
  <fills count="7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1" numFmtId="0" xfId="0" applyAlignment="1" applyFill="1" applyFont="1">
      <alignment horizontal="center" vertical="bottom"/>
    </xf>
    <xf borderId="0" fillId="3" fontId="2" numFmtId="0" xfId="0" applyAlignment="1" applyFont="1">
      <alignment horizontal="center" readingOrder="0" vertical="bottom"/>
    </xf>
    <xf borderId="0" fillId="3" fontId="1" numFmtId="0" xfId="0" applyAlignment="1" applyFont="1">
      <alignment horizontal="center" readingOrder="0" vertical="bottom"/>
    </xf>
    <xf borderId="0" fillId="2" fontId="3" numFmtId="0" xfId="0" applyAlignment="1" applyFont="1">
      <alignment horizontal="center" readingOrder="0"/>
    </xf>
    <xf borderId="0" fillId="4" fontId="3" numFmtId="0" xfId="0" applyAlignment="1" applyFill="1" applyFont="1">
      <alignment horizontal="center" vertical="bottom"/>
    </xf>
    <xf borderId="0" fillId="4" fontId="4" numFmtId="0" xfId="0" applyAlignment="1" applyFont="1">
      <alignment horizontal="center" vertical="bottom"/>
    </xf>
    <xf borderId="0" fillId="4" fontId="5" numFmtId="0" xfId="0" applyAlignment="1" applyFont="1">
      <alignment horizontal="center" vertical="bottom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5" fontId="1" numFmtId="0" xfId="0" applyAlignment="1" applyFill="1" applyFont="1">
      <alignment readingOrder="0"/>
    </xf>
    <xf borderId="0" fillId="5" fontId="3" numFmtId="0" xfId="0" applyAlignment="1" applyFont="1">
      <alignment horizontal="center" readingOrder="0"/>
    </xf>
    <xf borderId="0" fillId="6" fontId="1" numFmtId="0" xfId="0" applyAlignment="1" applyFill="1" applyFont="1">
      <alignment readingOrder="0"/>
    </xf>
    <xf borderId="0" fillId="6" fontId="3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3" max="3" width="29.25"/>
    <col customWidth="1" min="4" max="4" width="42.63"/>
    <col customWidth="1" min="5" max="5" width="13.0"/>
    <col customWidth="1" min="6" max="6" width="9.38"/>
    <col customWidth="1" min="7" max="7" width="12.13"/>
    <col customWidth="1" min="8" max="8" width="27.63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</row>
    <row r="3">
      <c r="A3" s="5" t="s">
        <v>9</v>
      </c>
      <c r="B3" s="6" t="str">
        <f>IFERROR(__xludf.DUMMYFUNCTION("IMPORTRANGE(""https://docs.google.com/spreadsheets/d/1AtUxug2OAe7N5XC0IO8rOe5n_Zu9Pd3NVb8VTGKkI3Q/edit?usp=sharing"",""普_通過(1365位)!M3:M"")"),"黃O鑫")</f>
        <v>黃O鑫</v>
      </c>
      <c r="C3" s="6" t="str">
        <f>IFERROR(__xludf.DUMMYFUNCTION("IMPORTRANGE(""https://docs.google.com/spreadsheets/d/1AtUxug2OAe7N5XC0IO8rOe5n_Zu9Pd3NVb8VTGKkI3Q/edit?usp=sharing"",""普_通過(1365位)!N3:N"")"),"ck1*****06@gl.ck.tp.edu.tw")</f>
        <v>ck1*****06@gl.ck.tp.edu.tw</v>
      </c>
      <c r="D3" s="6" t="str">
        <f>IFERROR(__xludf.DUMMYFUNCTION("IMPORTRANGE(""https://docs.google.com/spreadsheets/d/1AtUxug2OAe7N5XC0IO8rOe5n_Zu9Pd3NVb8VTGKkI3Q/edit?usp=sharing"",""普_通過(1365位)!F3:F"")"),"臺北市立建國高級中學")</f>
        <v>臺北市立建國高級中學</v>
      </c>
      <c r="E3" s="6" t="str">
        <f>IFERROR(__xludf.DUMMYFUNCTION("IMPORTRANGE(""https://docs.google.com/spreadsheets/d/1AtUxug2OAe7N5XC0IO8rOe5n_Zu9Pd3NVb8VTGKkI3Q/edit?usp=sharing"",""普_通過(1365位)!J3:J"")"),"第三類組")</f>
        <v>第三類組</v>
      </c>
      <c r="F3" s="6" t="str">
        <f>IFERROR(__xludf.DUMMYFUNCTION("IMPORTRANGE(""https://docs.google.com/spreadsheets/d/1AtUxug2OAe7N5XC0IO8rOe5n_Zu9Pd3NVb8VTGKkI3Q/edit?usp=sharing"",""普_通過(1365位)!H3:H"")"),"二年級")</f>
        <v>二年級</v>
      </c>
      <c r="G3" s="7" t="str">
        <f>IFERROR(__xludf.DUMMYFUNCTION("IMPORTRANGE(""https://docs.google.com/spreadsheets/d/1AtUxug2OAe7N5XC0IO8rOe5n_Zu9Pd3NVb8VTGKkI3Q/edit?usp=sharing"",""普_通過(1365位)!C3:C"")"),"獎狀")</f>
        <v>獎狀</v>
      </c>
      <c r="H3" s="8" t="str">
        <f>IFERROR(__xludf.DUMMYFUNCTION("IMPORTRANGE(""https://docs.google.com/spreadsheets/d/1AtUxug2OAe7N5XC0IO8rOe5n_Zu9Pd3NVb8VTGKkI3Q/edit?usp=sharing"",""普_通過(1365位)!V3:V"")"),"學籍資料不齊，請提供【就讀班級】")</f>
        <v>學籍資料不齊，請提供【就讀班級】</v>
      </c>
    </row>
    <row r="4">
      <c r="A4" s="5" t="s">
        <v>9</v>
      </c>
      <c r="B4" s="9" t="str">
        <f>IFERROR(__xludf.DUMMYFUNCTION("""COMPUTED_VALUE"""),"高O閎")</f>
        <v>高O閎</v>
      </c>
      <c r="C4" s="9" t="str">
        <f>IFERROR(__xludf.DUMMYFUNCTION("""COMPUTED_VALUE"""),"nic*****9989@yahoo.com.tw")</f>
        <v>nic*****9989@yahoo.com.tw</v>
      </c>
      <c r="D4" s="9" t="str">
        <f>IFERROR(__xludf.DUMMYFUNCTION("""COMPUTED_VALUE"""),"臺北市立成功高級中學")</f>
        <v>臺北市立成功高級中學</v>
      </c>
      <c r="E4" s="9" t="str">
        <f>IFERROR(__xludf.DUMMYFUNCTION("""COMPUTED_VALUE"""),"普通科")</f>
        <v>普通科</v>
      </c>
      <c r="F4" s="9" t="str">
        <f>IFERROR(__xludf.DUMMYFUNCTION("""COMPUTED_VALUE"""),"一年級")</f>
        <v>一年級</v>
      </c>
      <c r="G4" s="10" t="str">
        <f>IFERROR(__xludf.DUMMYFUNCTION("""COMPUTED_VALUE"""),"獎狀")</f>
        <v>獎狀</v>
      </c>
      <c r="H4" s="11"/>
    </row>
    <row r="5">
      <c r="A5" s="5" t="s">
        <v>9</v>
      </c>
      <c r="B5" s="9" t="str">
        <f>IFERROR(__xludf.DUMMYFUNCTION("""COMPUTED_VALUE"""),"王O安")</f>
        <v>王O安</v>
      </c>
      <c r="C5" s="9" t="str">
        <f>IFERROR(__xludf.DUMMYFUNCTION("""COMPUTED_VALUE"""),"111*****@bjjh.tp.edu.tw")</f>
        <v>111*****@bjjh.tp.edu.tw</v>
      </c>
      <c r="D5" s="9" t="str">
        <f>IFERROR(__xludf.DUMMYFUNCTION("""COMPUTED_VALUE"""),"臺北市立成功高級中學")</f>
        <v>臺北市立成功高級中學</v>
      </c>
      <c r="E5" s="9" t="str">
        <f>IFERROR(__xludf.DUMMYFUNCTION("""COMPUTED_VALUE"""),"普通科")</f>
        <v>普通科</v>
      </c>
      <c r="F5" s="9" t="str">
        <f>IFERROR(__xludf.DUMMYFUNCTION("""COMPUTED_VALUE"""),"一年級")</f>
        <v>一年級</v>
      </c>
      <c r="G5" s="10" t="str">
        <f>IFERROR(__xludf.DUMMYFUNCTION("""COMPUTED_VALUE"""),"獎狀")</f>
        <v>獎狀</v>
      </c>
      <c r="H5" s="11"/>
    </row>
    <row r="6">
      <c r="A6" s="5" t="s">
        <v>9</v>
      </c>
      <c r="B6" s="9" t="str">
        <f>IFERROR(__xludf.DUMMYFUNCTION("""COMPUTED_VALUE"""),"劉O翊")</f>
        <v>劉O翊</v>
      </c>
      <c r="C6" s="9" t="str">
        <f>IFERROR(__xludf.DUMMYFUNCTION("""COMPUTED_VALUE"""),"110*****tjh.tp.edu.tw")</f>
        <v>110*****tjh.tp.edu.tw</v>
      </c>
      <c r="D6" s="9" t="str">
        <f>IFERROR(__xludf.DUMMYFUNCTION("""COMPUTED_VALUE"""),"臺北市立成功高級中學")</f>
        <v>臺北市立成功高級中學</v>
      </c>
      <c r="E6" s="9" t="str">
        <f>IFERROR(__xludf.DUMMYFUNCTION("""COMPUTED_VALUE"""),"普通科")</f>
        <v>普通科</v>
      </c>
      <c r="F6" s="9" t="str">
        <f>IFERROR(__xludf.DUMMYFUNCTION("""COMPUTED_VALUE"""),"一年級")</f>
        <v>一年級</v>
      </c>
      <c r="G6" s="10" t="str">
        <f>IFERROR(__xludf.DUMMYFUNCTION("""COMPUTED_VALUE"""),"獎狀")</f>
        <v>獎狀</v>
      </c>
      <c r="H6" s="11"/>
    </row>
    <row r="7">
      <c r="A7" s="5" t="s">
        <v>9</v>
      </c>
      <c r="B7" s="9" t="str">
        <f>IFERROR(__xludf.DUMMYFUNCTION("""COMPUTED_VALUE"""),"許O凱")</f>
        <v>許O凱</v>
      </c>
      <c r="C7" s="9" t="str">
        <f>IFERROR(__xludf.DUMMYFUNCTION("""COMPUTED_VALUE"""),"113*****@gafe.cksh.tp.edu.tw")</f>
        <v>113*****@gafe.cksh.tp.edu.tw</v>
      </c>
      <c r="D7" s="9" t="str">
        <f>IFERROR(__xludf.DUMMYFUNCTION("""COMPUTED_VALUE"""),"臺北市立成功高級中學")</f>
        <v>臺北市立成功高級中學</v>
      </c>
      <c r="E7" s="9" t="str">
        <f>IFERROR(__xludf.DUMMYFUNCTION("""COMPUTED_VALUE"""),"普通科")</f>
        <v>普通科</v>
      </c>
      <c r="F7" s="9" t="str">
        <f>IFERROR(__xludf.DUMMYFUNCTION("""COMPUTED_VALUE"""),"二年級")</f>
        <v>二年級</v>
      </c>
      <c r="G7" s="10" t="str">
        <f>IFERROR(__xludf.DUMMYFUNCTION("""COMPUTED_VALUE"""),"獎狀")</f>
        <v>獎狀</v>
      </c>
      <c r="H7" s="11"/>
    </row>
    <row r="8">
      <c r="A8" s="5" t="s">
        <v>9</v>
      </c>
      <c r="B8" s="9" t="str">
        <f>IFERROR(__xludf.DUMMYFUNCTION("""COMPUTED_VALUE"""),"施O希")</f>
        <v>施O希</v>
      </c>
      <c r="C8" s="9" t="str">
        <f>IFERROR(__xludf.DUMMYFUNCTION("""COMPUTED_VALUE"""),"jul*****ih@gmail.com")</f>
        <v>jul*****ih@gmail.com</v>
      </c>
      <c r="D8" s="9" t="str">
        <f>IFERROR(__xludf.DUMMYFUNCTION("""COMPUTED_VALUE"""),"臺北市立第一女子高級中學")</f>
        <v>臺北市立第一女子高級中學</v>
      </c>
      <c r="E8" s="9" t="str">
        <f>IFERROR(__xludf.DUMMYFUNCTION("""COMPUTED_VALUE"""),"普通科")</f>
        <v>普通科</v>
      </c>
      <c r="F8" s="9" t="str">
        <f>IFERROR(__xludf.DUMMYFUNCTION("""COMPUTED_VALUE"""),"一年級")</f>
        <v>一年級</v>
      </c>
      <c r="G8" s="10" t="str">
        <f>IFERROR(__xludf.DUMMYFUNCTION("""COMPUTED_VALUE"""),"獎狀")</f>
        <v>獎狀</v>
      </c>
      <c r="H8" s="11"/>
    </row>
    <row r="9">
      <c r="A9" s="5" t="s">
        <v>9</v>
      </c>
      <c r="B9" s="9" t="str">
        <f>IFERROR(__xludf.DUMMYFUNCTION("""COMPUTED_VALUE"""),"張O恩")</f>
        <v>張O恩</v>
      </c>
      <c r="C9" s="9" t="str">
        <f>IFERROR(__xludf.DUMMYFUNCTION("""COMPUTED_VALUE"""),"nan*****2@gmail.com")</f>
        <v>nan*****2@gmail.com</v>
      </c>
      <c r="D9" s="9" t="str">
        <f>IFERROR(__xludf.DUMMYFUNCTION("""COMPUTED_VALUE"""),"臺北市立第一女子高級中學")</f>
        <v>臺北市立第一女子高級中學</v>
      </c>
      <c r="E9" s="9" t="str">
        <f>IFERROR(__xludf.DUMMYFUNCTION("""COMPUTED_VALUE"""),"普通科")</f>
        <v>普通科</v>
      </c>
      <c r="F9" s="9" t="str">
        <f>IFERROR(__xludf.DUMMYFUNCTION("""COMPUTED_VALUE"""),"一年級")</f>
        <v>一年級</v>
      </c>
      <c r="G9" s="10" t="str">
        <f>IFERROR(__xludf.DUMMYFUNCTION("""COMPUTED_VALUE"""),"■商品卡$200")</f>
        <v>■商品卡$200</v>
      </c>
      <c r="H9" s="11"/>
    </row>
    <row r="10">
      <c r="A10" s="5" t="s">
        <v>9</v>
      </c>
      <c r="B10" s="9" t="str">
        <f>IFERROR(__xludf.DUMMYFUNCTION("""COMPUTED_VALUE"""),"鄭O文")</f>
        <v>鄭O文</v>
      </c>
      <c r="C10" s="9" t="str">
        <f>IFERROR(__xludf.DUMMYFUNCTION("""COMPUTED_VALUE"""),"jav*****pc@mail.edu.tw")</f>
        <v>jav*****pc@mail.edu.tw</v>
      </c>
      <c r="D10" s="9" t="str">
        <f>IFERROR(__xludf.DUMMYFUNCTION("""COMPUTED_VALUE"""),"臺北市立成功高級中學")</f>
        <v>臺北市立成功高級中學</v>
      </c>
      <c r="E10" s="9" t="str">
        <f>IFERROR(__xludf.DUMMYFUNCTION("""COMPUTED_VALUE"""),"普通科")</f>
        <v>普通科</v>
      </c>
      <c r="F10" s="9" t="str">
        <f>IFERROR(__xludf.DUMMYFUNCTION("""COMPUTED_VALUE"""),"一年級")</f>
        <v>一年級</v>
      </c>
      <c r="G10" s="10" t="str">
        <f>IFERROR(__xludf.DUMMYFUNCTION("""COMPUTED_VALUE"""),"獎狀")</f>
        <v>獎狀</v>
      </c>
      <c r="H10" s="11"/>
    </row>
    <row r="11">
      <c r="A11" s="5" t="s">
        <v>9</v>
      </c>
      <c r="B11" s="9" t="str">
        <f>IFERROR(__xludf.DUMMYFUNCTION("""COMPUTED_VALUE"""),"簡O樺")</f>
        <v>簡O樺</v>
      </c>
      <c r="C11" s="9" t="str">
        <f>IFERROR(__xludf.DUMMYFUNCTION("""COMPUTED_VALUE"""),"way*****en2010@gmail.com")</f>
        <v>way*****en2010@gmail.com</v>
      </c>
      <c r="D11" s="9" t="str">
        <f>IFERROR(__xludf.DUMMYFUNCTION("""COMPUTED_VALUE"""),"臺北市立建國高級中學")</f>
        <v>臺北市立建國高級中學</v>
      </c>
      <c r="E11" s="9" t="str">
        <f>IFERROR(__xludf.DUMMYFUNCTION("""COMPUTED_VALUE"""),"普通科")</f>
        <v>普通科</v>
      </c>
      <c r="F11" s="9" t="str">
        <f>IFERROR(__xludf.DUMMYFUNCTION("""COMPUTED_VALUE"""),"一年級")</f>
        <v>一年級</v>
      </c>
      <c r="G11" s="10" t="str">
        <f>IFERROR(__xludf.DUMMYFUNCTION("""COMPUTED_VALUE"""),"獎狀")</f>
        <v>獎狀</v>
      </c>
      <c r="H11" s="11"/>
    </row>
    <row r="12">
      <c r="A12" s="5" t="s">
        <v>9</v>
      </c>
      <c r="B12" s="9" t="str">
        <f>IFERROR(__xludf.DUMMYFUNCTION("""COMPUTED_VALUE"""),"黃O源")</f>
        <v>黃O源</v>
      </c>
      <c r="C12" s="9" t="str">
        <f>IFERROR(__xludf.DUMMYFUNCTION("""COMPUTED_VALUE"""),"cw1*****.ntpc@mail.edu.tw")</f>
        <v>cw1*****.ntpc@mail.edu.tw</v>
      </c>
      <c r="D12" s="9" t="str">
        <f>IFERROR(__xludf.DUMMYFUNCTION("""COMPUTED_VALUE"""),"臺北市立建國高級中學")</f>
        <v>臺北市立建國高級中學</v>
      </c>
      <c r="E12" s="9" t="str">
        <f>IFERROR(__xludf.DUMMYFUNCTION("""COMPUTED_VALUE"""),"普通科")</f>
        <v>普通科</v>
      </c>
      <c r="F12" s="9" t="str">
        <f>IFERROR(__xludf.DUMMYFUNCTION("""COMPUTED_VALUE"""),"一年級")</f>
        <v>一年級</v>
      </c>
      <c r="G12" s="10" t="str">
        <f>IFERROR(__xludf.DUMMYFUNCTION("""COMPUTED_VALUE"""),"獎狀")</f>
        <v>獎狀</v>
      </c>
      <c r="H12" s="11"/>
    </row>
    <row r="13">
      <c r="A13" s="5" t="s">
        <v>9</v>
      </c>
      <c r="B13" s="9" t="str">
        <f>IFERROR(__xludf.DUMMYFUNCTION("""COMPUTED_VALUE"""),"余O喆")</f>
        <v>余O喆</v>
      </c>
      <c r="C13" s="9" t="str">
        <f>IFERROR(__xludf.DUMMYFUNCTION("""COMPUTED_VALUE"""),"yuy*****ovo@gmail.com")</f>
        <v>yuy*****ovo@gmail.com</v>
      </c>
      <c r="D13" s="9" t="str">
        <f>IFERROR(__xludf.DUMMYFUNCTION("""COMPUTED_VALUE"""),"臺北市立建國高級中學")</f>
        <v>臺北市立建國高級中學</v>
      </c>
      <c r="E13" s="9" t="str">
        <f>IFERROR(__xludf.DUMMYFUNCTION("""COMPUTED_VALUE"""),"普通科")</f>
        <v>普通科</v>
      </c>
      <c r="F13" s="9" t="str">
        <f>IFERROR(__xludf.DUMMYFUNCTION("""COMPUTED_VALUE"""),"一年級")</f>
        <v>一年級</v>
      </c>
      <c r="G13" s="10" t="str">
        <f>IFERROR(__xludf.DUMMYFUNCTION("""COMPUTED_VALUE"""),"獎狀")</f>
        <v>獎狀</v>
      </c>
      <c r="H13" s="11"/>
    </row>
    <row r="14">
      <c r="A14" s="5" t="s">
        <v>9</v>
      </c>
      <c r="B14" s="9" t="str">
        <f>IFERROR(__xludf.DUMMYFUNCTION("""COMPUTED_VALUE"""),"葉O源")</f>
        <v>葉O源</v>
      </c>
      <c r="C14" s="9" t="str">
        <f>IFERROR(__xludf.DUMMYFUNCTION("""COMPUTED_VALUE"""),"yes*****@yahoo.com.tw")</f>
        <v>yes*****@yahoo.com.tw</v>
      </c>
      <c r="D14" s="9" t="str">
        <f>IFERROR(__xludf.DUMMYFUNCTION("""COMPUTED_VALUE"""),"臺北市立明倫高級中學")</f>
        <v>臺北市立明倫高級中學</v>
      </c>
      <c r="E14" s="9" t="str">
        <f>IFERROR(__xludf.DUMMYFUNCTION("""COMPUTED_VALUE"""),"普通科")</f>
        <v>普通科</v>
      </c>
      <c r="F14" s="9" t="str">
        <f>IFERROR(__xludf.DUMMYFUNCTION("""COMPUTED_VALUE"""),"一年級")</f>
        <v>一年級</v>
      </c>
      <c r="G14" s="10" t="str">
        <f>IFERROR(__xludf.DUMMYFUNCTION("""COMPUTED_VALUE"""),"獎狀")</f>
        <v>獎狀</v>
      </c>
      <c r="H14" s="11"/>
    </row>
    <row r="15">
      <c r="A15" s="5" t="s">
        <v>9</v>
      </c>
      <c r="B15" s="9" t="str">
        <f>IFERROR(__xludf.DUMMYFUNCTION("""COMPUTED_VALUE"""),"黃O茜")</f>
        <v>黃O茜</v>
      </c>
      <c r="C15" s="9" t="str">
        <f>IFERROR(__xludf.DUMMYFUNCTION("""COMPUTED_VALUE"""),"gra*****en0104@gmail.com")</f>
        <v>gra*****en0104@gmail.com</v>
      </c>
      <c r="D15" s="9" t="str">
        <f>IFERROR(__xludf.DUMMYFUNCTION("""COMPUTED_VALUE"""),"臺北市私立靜修高級中學")</f>
        <v>臺北市私立靜修高級中學</v>
      </c>
      <c r="E15" s="9" t="str">
        <f>IFERROR(__xludf.DUMMYFUNCTION("""COMPUTED_VALUE"""),"普通科")</f>
        <v>普通科</v>
      </c>
      <c r="F15" s="9" t="str">
        <f>IFERROR(__xludf.DUMMYFUNCTION("""COMPUTED_VALUE"""),"一年級")</f>
        <v>一年級</v>
      </c>
      <c r="G15" s="10" t="str">
        <f>IFERROR(__xludf.DUMMYFUNCTION("""COMPUTED_VALUE"""),"獎狀")</f>
        <v>獎狀</v>
      </c>
      <c r="H15" s="11"/>
    </row>
    <row r="16">
      <c r="A16" s="5" t="s">
        <v>9</v>
      </c>
      <c r="B16" s="9" t="str">
        <f>IFERROR(__xludf.DUMMYFUNCTION("""COMPUTED_VALUE"""),"藍O辰")</f>
        <v>藍O辰</v>
      </c>
      <c r="C16" s="9" t="str">
        <f>IFERROR(__xludf.DUMMYFUNCTION("""COMPUTED_VALUE"""),"beb*****92@gmail.com")</f>
        <v>beb*****92@gmail.com</v>
      </c>
      <c r="D16" s="9" t="str">
        <f>IFERROR(__xludf.DUMMYFUNCTION("""COMPUTED_VALUE"""),"臺北市私立靜修高級中學")</f>
        <v>臺北市私立靜修高級中學</v>
      </c>
      <c r="E16" s="9" t="str">
        <f>IFERROR(__xludf.DUMMYFUNCTION("""COMPUTED_VALUE"""),"普通科")</f>
        <v>普通科</v>
      </c>
      <c r="F16" s="9" t="str">
        <f>IFERROR(__xludf.DUMMYFUNCTION("""COMPUTED_VALUE"""),"一年級")</f>
        <v>一年級</v>
      </c>
      <c r="G16" s="10" t="str">
        <f>IFERROR(__xludf.DUMMYFUNCTION("""COMPUTED_VALUE"""),"獎狀")</f>
        <v>獎狀</v>
      </c>
      <c r="H16" s="11"/>
    </row>
    <row r="17">
      <c r="A17" s="5" t="s">
        <v>9</v>
      </c>
      <c r="B17" s="9" t="str">
        <f>IFERROR(__xludf.DUMMYFUNCTION("""COMPUTED_VALUE"""),"陳O秀")</f>
        <v>陳O秀</v>
      </c>
      <c r="C17" s="9" t="str">
        <f>IFERROR(__xludf.DUMMYFUNCTION("""COMPUTED_VALUE"""),"bis*****1109@mail.edu.tw")</f>
        <v>bis*****1109@mail.edu.tw</v>
      </c>
      <c r="D17" s="9" t="str">
        <f>IFERROR(__xludf.DUMMYFUNCTION("""COMPUTED_VALUE"""),"臺北市私立靜修高級中學")</f>
        <v>臺北市私立靜修高級中學</v>
      </c>
      <c r="E17" s="9" t="str">
        <f>IFERROR(__xludf.DUMMYFUNCTION("""COMPUTED_VALUE"""),"普通科")</f>
        <v>普通科</v>
      </c>
      <c r="F17" s="9" t="str">
        <f>IFERROR(__xludf.DUMMYFUNCTION("""COMPUTED_VALUE"""),"一年級")</f>
        <v>一年級</v>
      </c>
      <c r="G17" s="10" t="str">
        <f>IFERROR(__xludf.DUMMYFUNCTION("""COMPUTED_VALUE"""),"獎狀")</f>
        <v>獎狀</v>
      </c>
      <c r="H17" s="9"/>
    </row>
    <row r="18">
      <c r="A18" s="5" t="s">
        <v>9</v>
      </c>
      <c r="B18" s="9" t="str">
        <f>IFERROR(__xludf.DUMMYFUNCTION("""COMPUTED_VALUE"""),"楊O葦")</f>
        <v>楊O葦</v>
      </c>
      <c r="C18" s="9" t="str">
        <f>IFERROR(__xludf.DUMMYFUNCTION("""COMPUTED_VALUE"""),"luy*****g0620@gmail.com")</f>
        <v>luy*****g0620@gmail.com</v>
      </c>
      <c r="D18" s="9" t="str">
        <f>IFERROR(__xludf.DUMMYFUNCTION("""COMPUTED_VALUE"""),"臺北市私立靜修高級中學")</f>
        <v>臺北市私立靜修高級中學</v>
      </c>
      <c r="E18" s="9" t="str">
        <f>IFERROR(__xludf.DUMMYFUNCTION("""COMPUTED_VALUE"""),"普通科")</f>
        <v>普通科</v>
      </c>
      <c r="F18" s="9" t="str">
        <f>IFERROR(__xludf.DUMMYFUNCTION("""COMPUTED_VALUE"""),"二年級")</f>
        <v>二年級</v>
      </c>
      <c r="G18" s="10" t="str">
        <f>IFERROR(__xludf.DUMMYFUNCTION("""COMPUTED_VALUE"""),"獎狀")</f>
        <v>獎狀</v>
      </c>
      <c r="H18" s="9"/>
    </row>
    <row r="19">
      <c r="A19" s="5" t="s">
        <v>9</v>
      </c>
      <c r="B19" s="9" t="str">
        <f>IFERROR(__xludf.DUMMYFUNCTION("""COMPUTED_VALUE"""),"高O琳")</f>
        <v>高O琳</v>
      </c>
      <c r="C19" s="9" t="str">
        <f>IFERROR(__xludf.DUMMYFUNCTION("""COMPUTED_VALUE"""),"lyn*****029@gmail.com")</f>
        <v>lyn*****029@gmail.com</v>
      </c>
      <c r="D19" s="9" t="str">
        <f>IFERROR(__xludf.DUMMYFUNCTION("""COMPUTED_VALUE"""),"臺北市私立靜修高級中學")</f>
        <v>臺北市私立靜修高級中學</v>
      </c>
      <c r="E19" s="9" t="str">
        <f>IFERROR(__xludf.DUMMYFUNCTION("""COMPUTED_VALUE"""),"普通科")</f>
        <v>普通科</v>
      </c>
      <c r="F19" s="9" t="str">
        <f>IFERROR(__xludf.DUMMYFUNCTION("""COMPUTED_VALUE"""),"二年級")</f>
        <v>二年級</v>
      </c>
      <c r="G19" s="10" t="str">
        <f>IFERROR(__xludf.DUMMYFUNCTION("""COMPUTED_VALUE"""),"獎狀")</f>
        <v>獎狀</v>
      </c>
      <c r="H19" s="9"/>
    </row>
    <row r="20">
      <c r="A20" s="5" t="s">
        <v>9</v>
      </c>
      <c r="B20" s="9" t="str">
        <f>IFERROR(__xludf.DUMMYFUNCTION("""COMPUTED_VALUE"""),"徐O婕")</f>
        <v>徐O婕</v>
      </c>
      <c r="C20" s="9" t="str">
        <f>IFERROR(__xludf.DUMMYFUNCTION("""COMPUTED_VALUE"""),"rxu*****gmail.com")</f>
        <v>rxu*****gmail.com</v>
      </c>
      <c r="D20" s="9" t="str">
        <f>IFERROR(__xludf.DUMMYFUNCTION("""COMPUTED_VALUE"""),"臺北市私立靜修高級中學")</f>
        <v>臺北市私立靜修高級中學</v>
      </c>
      <c r="E20" s="9" t="str">
        <f>IFERROR(__xludf.DUMMYFUNCTION("""COMPUTED_VALUE"""),"普通科")</f>
        <v>普通科</v>
      </c>
      <c r="F20" s="9" t="str">
        <f>IFERROR(__xludf.DUMMYFUNCTION("""COMPUTED_VALUE"""),"二年級")</f>
        <v>二年級</v>
      </c>
      <c r="G20" s="10" t="str">
        <f>IFERROR(__xludf.DUMMYFUNCTION("""COMPUTED_VALUE"""),"獎狀")</f>
        <v>獎狀</v>
      </c>
      <c r="H20" s="9"/>
    </row>
    <row r="21">
      <c r="A21" s="5" t="s">
        <v>9</v>
      </c>
      <c r="B21" s="9" t="str">
        <f>IFERROR(__xludf.DUMMYFUNCTION("""COMPUTED_VALUE"""),"陳O凌")</f>
        <v>陳O凌</v>
      </c>
      <c r="C21" s="9" t="str">
        <f>IFERROR(__xludf.DUMMYFUNCTION("""COMPUTED_VALUE"""),"lol*****00@gmail.com")</f>
        <v>lol*****00@gmail.com</v>
      </c>
      <c r="D21" s="9" t="str">
        <f>IFERROR(__xludf.DUMMYFUNCTION("""COMPUTED_VALUE"""),"臺北市私立靜修高級中學")</f>
        <v>臺北市私立靜修高級中學</v>
      </c>
      <c r="E21" s="9" t="str">
        <f>IFERROR(__xludf.DUMMYFUNCTION("""COMPUTED_VALUE"""),"普通科")</f>
        <v>普通科</v>
      </c>
      <c r="F21" s="9" t="str">
        <f>IFERROR(__xludf.DUMMYFUNCTION("""COMPUTED_VALUE"""),"二年級")</f>
        <v>二年級</v>
      </c>
      <c r="G21" s="10" t="str">
        <f>IFERROR(__xludf.DUMMYFUNCTION("""COMPUTED_VALUE"""),"獎狀")</f>
        <v>獎狀</v>
      </c>
      <c r="H21" s="9"/>
    </row>
    <row r="22">
      <c r="A22" s="5" t="s">
        <v>9</v>
      </c>
      <c r="B22" s="9" t="str">
        <f>IFERROR(__xludf.DUMMYFUNCTION("""COMPUTED_VALUE"""),"黃O涵")</f>
        <v>黃O涵</v>
      </c>
      <c r="C22" s="9" t="str">
        <f>IFERROR(__xludf.DUMMYFUNCTION("""COMPUTED_VALUE"""),"jol*****421@gmail.com")</f>
        <v>jol*****421@gmail.com</v>
      </c>
      <c r="D22" s="9" t="str">
        <f>IFERROR(__xludf.DUMMYFUNCTION("""COMPUTED_VALUE"""),"臺北市私立靜修高級中學")</f>
        <v>臺北市私立靜修高級中學</v>
      </c>
      <c r="E22" s="9" t="str">
        <f>IFERROR(__xludf.DUMMYFUNCTION("""COMPUTED_VALUE"""),"普通科")</f>
        <v>普通科</v>
      </c>
      <c r="F22" s="9" t="str">
        <f>IFERROR(__xludf.DUMMYFUNCTION("""COMPUTED_VALUE"""),"三年級")</f>
        <v>三年級</v>
      </c>
      <c r="G22" s="10" t="str">
        <f>IFERROR(__xludf.DUMMYFUNCTION("""COMPUTED_VALUE"""),"獎狀")</f>
        <v>獎狀</v>
      </c>
      <c r="H22" s="9"/>
    </row>
    <row r="23">
      <c r="A23" s="5" t="s">
        <v>9</v>
      </c>
      <c r="B23" s="9" t="str">
        <f>IFERROR(__xludf.DUMMYFUNCTION("""COMPUTED_VALUE"""),"李O婕")</f>
        <v>李O婕</v>
      </c>
      <c r="C23" s="9" t="str">
        <f>IFERROR(__xludf.DUMMYFUNCTION("""COMPUTED_VALUE"""),"ang*****8.lee@gmail.com")</f>
        <v>ang*****8.lee@gmail.com</v>
      </c>
      <c r="D23" s="9" t="str">
        <f>IFERROR(__xludf.DUMMYFUNCTION("""COMPUTED_VALUE"""),"臺北市私立靜修高級中學")</f>
        <v>臺北市私立靜修高級中學</v>
      </c>
      <c r="E23" s="9" t="str">
        <f>IFERROR(__xludf.DUMMYFUNCTION("""COMPUTED_VALUE"""),"普通科")</f>
        <v>普通科</v>
      </c>
      <c r="F23" s="9" t="str">
        <f>IFERROR(__xludf.DUMMYFUNCTION("""COMPUTED_VALUE"""),"二年級")</f>
        <v>二年級</v>
      </c>
      <c r="G23" s="10" t="str">
        <f>IFERROR(__xludf.DUMMYFUNCTION("""COMPUTED_VALUE"""),"■商品卡$200")</f>
        <v>■商品卡$200</v>
      </c>
      <c r="H23" s="9"/>
    </row>
    <row r="24">
      <c r="A24" s="5" t="s">
        <v>9</v>
      </c>
      <c r="B24" s="9" t="str">
        <f>IFERROR(__xludf.DUMMYFUNCTION("""COMPUTED_VALUE"""),"王O予")</f>
        <v>王O予</v>
      </c>
      <c r="C24" s="9" t="str">
        <f>IFERROR(__xludf.DUMMYFUNCTION("""COMPUTED_VALUE"""),"cia*****@gmail.com")</f>
        <v>cia*****@gmail.com</v>
      </c>
      <c r="D24" s="9" t="str">
        <f>IFERROR(__xludf.DUMMYFUNCTION("""COMPUTED_VALUE"""),"臺北市私立靜修高級中學")</f>
        <v>臺北市私立靜修高級中學</v>
      </c>
      <c r="E24" s="9" t="str">
        <f>IFERROR(__xludf.DUMMYFUNCTION("""COMPUTED_VALUE"""),"普通科")</f>
        <v>普通科</v>
      </c>
      <c r="F24" s="9" t="str">
        <f>IFERROR(__xludf.DUMMYFUNCTION("""COMPUTED_VALUE"""),"二年級")</f>
        <v>二年級</v>
      </c>
      <c r="G24" s="10" t="str">
        <f>IFERROR(__xludf.DUMMYFUNCTION("""COMPUTED_VALUE"""),"獎狀")</f>
        <v>獎狀</v>
      </c>
      <c r="H24" s="9"/>
    </row>
    <row r="25">
      <c r="A25" s="5" t="s">
        <v>9</v>
      </c>
      <c r="B25" s="9" t="str">
        <f>IFERROR(__xludf.DUMMYFUNCTION("""COMPUTED_VALUE"""),"張O瑄")</f>
        <v>張O瑄</v>
      </c>
      <c r="C25" s="9" t="str">
        <f>IFERROR(__xludf.DUMMYFUNCTION("""COMPUTED_VALUE"""),"mj2*****04@gmail.com")</f>
        <v>mj2*****04@gmail.com</v>
      </c>
      <c r="D25" s="9" t="str">
        <f>IFERROR(__xludf.DUMMYFUNCTION("""COMPUTED_VALUE"""),"臺北市私立靜修高級中學")</f>
        <v>臺北市私立靜修高級中學</v>
      </c>
      <c r="E25" s="9" t="str">
        <f>IFERROR(__xludf.DUMMYFUNCTION("""COMPUTED_VALUE"""),"普通科")</f>
        <v>普通科</v>
      </c>
      <c r="F25" s="9" t="str">
        <f>IFERROR(__xludf.DUMMYFUNCTION("""COMPUTED_VALUE"""),"二年級")</f>
        <v>二年級</v>
      </c>
      <c r="G25" s="10" t="str">
        <f>IFERROR(__xludf.DUMMYFUNCTION("""COMPUTED_VALUE"""),"獎狀")</f>
        <v>獎狀</v>
      </c>
      <c r="H25" s="9"/>
    </row>
    <row r="26">
      <c r="A26" s="5" t="s">
        <v>9</v>
      </c>
      <c r="B26" s="9" t="str">
        <f>IFERROR(__xludf.DUMMYFUNCTION("""COMPUTED_VALUE"""),"林O竺")</f>
        <v>林O竺</v>
      </c>
      <c r="C26" s="9" t="str">
        <f>IFERROR(__xludf.DUMMYFUNCTION("""COMPUTED_VALUE"""),"lin*****0613@gmail.com")</f>
        <v>lin*****0613@gmail.com</v>
      </c>
      <c r="D26" s="9" t="str">
        <f>IFERROR(__xludf.DUMMYFUNCTION("""COMPUTED_VALUE"""),"臺北市私立靜修高級中學")</f>
        <v>臺北市私立靜修高級中學</v>
      </c>
      <c r="E26" s="9" t="str">
        <f>IFERROR(__xludf.DUMMYFUNCTION("""COMPUTED_VALUE"""),"普通科")</f>
        <v>普通科</v>
      </c>
      <c r="F26" s="9" t="str">
        <f>IFERROR(__xludf.DUMMYFUNCTION("""COMPUTED_VALUE"""),"二年級")</f>
        <v>二年級</v>
      </c>
      <c r="G26" s="10" t="str">
        <f>IFERROR(__xludf.DUMMYFUNCTION("""COMPUTED_VALUE"""),"獎狀")</f>
        <v>獎狀</v>
      </c>
      <c r="H26" s="9"/>
    </row>
    <row r="27">
      <c r="A27" s="5" t="s">
        <v>9</v>
      </c>
      <c r="B27" s="9" t="str">
        <f>IFERROR(__xludf.DUMMYFUNCTION("""COMPUTED_VALUE"""),"鄭O倫")</f>
        <v>鄭O倫</v>
      </c>
      <c r="C27" s="9" t="str">
        <f>IFERROR(__xludf.DUMMYFUNCTION("""COMPUTED_VALUE"""),"app*****80528@gmail.com")</f>
        <v>app*****80528@gmail.com</v>
      </c>
      <c r="D27" s="9" t="str">
        <f>IFERROR(__xludf.DUMMYFUNCTION("""COMPUTED_VALUE"""),"臺北市私立靜修高級中學")</f>
        <v>臺北市私立靜修高級中學</v>
      </c>
      <c r="E27" s="9" t="str">
        <f>IFERROR(__xludf.DUMMYFUNCTION("""COMPUTED_VALUE"""),"普通科")</f>
        <v>普通科</v>
      </c>
      <c r="F27" s="9" t="str">
        <f>IFERROR(__xludf.DUMMYFUNCTION("""COMPUTED_VALUE"""),"二年級")</f>
        <v>二年級</v>
      </c>
      <c r="G27" s="10" t="str">
        <f>IFERROR(__xludf.DUMMYFUNCTION("""COMPUTED_VALUE"""),"■商品卡$200")</f>
        <v>■商品卡$200</v>
      </c>
      <c r="H27" s="9"/>
    </row>
    <row r="28">
      <c r="A28" s="5" t="s">
        <v>9</v>
      </c>
      <c r="B28" s="9" t="str">
        <f>IFERROR(__xludf.DUMMYFUNCTION("""COMPUTED_VALUE"""),"陳O宜")</f>
        <v>陳O宜</v>
      </c>
      <c r="C28" s="9" t="str">
        <f>IFERROR(__xludf.DUMMYFUNCTION("""COMPUTED_VALUE"""),"fra*****vie@gmail.com")</f>
        <v>fra*****vie@gmail.com</v>
      </c>
      <c r="D28" s="9" t="str">
        <f>IFERROR(__xludf.DUMMYFUNCTION("""COMPUTED_VALUE"""),"臺北市私立靜修高級中學")</f>
        <v>臺北市私立靜修高級中學</v>
      </c>
      <c r="E28" s="9" t="str">
        <f>IFERROR(__xludf.DUMMYFUNCTION("""COMPUTED_VALUE"""),"普通科")</f>
        <v>普通科</v>
      </c>
      <c r="F28" s="9" t="str">
        <f>IFERROR(__xludf.DUMMYFUNCTION("""COMPUTED_VALUE"""),"二年級")</f>
        <v>二年級</v>
      </c>
      <c r="G28" s="10" t="str">
        <f>IFERROR(__xludf.DUMMYFUNCTION("""COMPUTED_VALUE"""),"獎狀")</f>
        <v>獎狀</v>
      </c>
      <c r="H28" s="9"/>
    </row>
    <row r="29">
      <c r="A29" s="5" t="s">
        <v>9</v>
      </c>
      <c r="B29" s="9" t="str">
        <f>IFERROR(__xludf.DUMMYFUNCTION("""COMPUTED_VALUE"""),"張O苹")</f>
        <v>張O苹</v>
      </c>
      <c r="C29" s="9" t="str">
        <f>IFERROR(__xludf.DUMMYFUNCTION("""COMPUTED_VALUE"""),"yun*****406@gmail.com")</f>
        <v>yun*****406@gmail.com</v>
      </c>
      <c r="D29" s="9" t="str">
        <f>IFERROR(__xludf.DUMMYFUNCTION("""COMPUTED_VALUE"""),"臺北市私立靜修高級中學")</f>
        <v>臺北市私立靜修高級中學</v>
      </c>
      <c r="E29" s="9" t="str">
        <f>IFERROR(__xludf.DUMMYFUNCTION("""COMPUTED_VALUE"""),"普通科")</f>
        <v>普通科</v>
      </c>
      <c r="F29" s="9" t="str">
        <f>IFERROR(__xludf.DUMMYFUNCTION("""COMPUTED_VALUE"""),"二年級")</f>
        <v>二年級</v>
      </c>
      <c r="G29" s="10" t="str">
        <f>IFERROR(__xludf.DUMMYFUNCTION("""COMPUTED_VALUE"""),"★商品卡$1000")</f>
        <v>★商品卡$1000</v>
      </c>
      <c r="H29" s="9"/>
    </row>
    <row r="30">
      <c r="A30" s="5" t="s">
        <v>9</v>
      </c>
      <c r="B30" s="9" t="str">
        <f>IFERROR(__xludf.DUMMYFUNCTION("""COMPUTED_VALUE"""),"郭O吟")</f>
        <v>郭O吟</v>
      </c>
      <c r="C30" s="9" t="str">
        <f>IFERROR(__xludf.DUMMYFUNCTION("""COMPUTED_VALUE"""),"a09*****005@gmail.com")</f>
        <v>a09*****005@gmail.com</v>
      </c>
      <c r="D30" s="9" t="str">
        <f>IFERROR(__xludf.DUMMYFUNCTION("""COMPUTED_VALUE"""),"臺北市私立靜修高級中學")</f>
        <v>臺北市私立靜修高級中學</v>
      </c>
      <c r="E30" s="9" t="str">
        <f>IFERROR(__xludf.DUMMYFUNCTION("""COMPUTED_VALUE"""),"普通科")</f>
        <v>普通科</v>
      </c>
      <c r="F30" s="9" t="str">
        <f>IFERROR(__xludf.DUMMYFUNCTION("""COMPUTED_VALUE"""),"二年級")</f>
        <v>二年級</v>
      </c>
      <c r="G30" s="10" t="str">
        <f>IFERROR(__xludf.DUMMYFUNCTION("""COMPUTED_VALUE"""),"○商品卡$500")</f>
        <v>○商品卡$500</v>
      </c>
      <c r="H30" s="9"/>
    </row>
    <row r="31">
      <c r="A31" s="5" t="s">
        <v>9</v>
      </c>
      <c r="B31" s="9" t="str">
        <f>IFERROR(__xludf.DUMMYFUNCTION("""COMPUTED_VALUE"""),"沈O蓁")</f>
        <v>沈O蓁</v>
      </c>
      <c r="C31" s="9" t="str">
        <f>IFERROR(__xludf.DUMMYFUNCTION("""COMPUTED_VALUE"""),"sop*****en2007@gmail.com")</f>
        <v>sop*****en2007@gmail.com</v>
      </c>
      <c r="D31" s="9" t="str">
        <f>IFERROR(__xludf.DUMMYFUNCTION("""COMPUTED_VALUE"""),"臺北市私立靜修高級中學")</f>
        <v>臺北市私立靜修高級中學</v>
      </c>
      <c r="E31" s="9" t="str">
        <f>IFERROR(__xludf.DUMMYFUNCTION("""COMPUTED_VALUE"""),"普通科")</f>
        <v>普通科</v>
      </c>
      <c r="F31" s="9" t="str">
        <f>IFERROR(__xludf.DUMMYFUNCTION("""COMPUTED_VALUE"""),"三年級")</f>
        <v>三年級</v>
      </c>
      <c r="G31" s="10" t="str">
        <f>IFERROR(__xludf.DUMMYFUNCTION("""COMPUTED_VALUE"""),"■商品卡$200")</f>
        <v>■商品卡$200</v>
      </c>
      <c r="H31" s="9"/>
    </row>
    <row r="32">
      <c r="A32" s="5" t="s">
        <v>9</v>
      </c>
      <c r="B32" s="9" t="str">
        <f>IFERROR(__xludf.DUMMYFUNCTION("""COMPUTED_VALUE"""),"關O心")</f>
        <v>關O心</v>
      </c>
      <c r="C32" s="9" t="str">
        <f>IFERROR(__xludf.DUMMYFUNCTION("""COMPUTED_VALUE"""),"kwa*****hsin@gmail.com")</f>
        <v>kwa*****hsin@gmail.com</v>
      </c>
      <c r="D32" s="9" t="str">
        <f>IFERROR(__xludf.DUMMYFUNCTION("""COMPUTED_VALUE"""),"臺北市私立靜修高級中學")</f>
        <v>臺北市私立靜修高級中學</v>
      </c>
      <c r="E32" s="9" t="str">
        <f>IFERROR(__xludf.DUMMYFUNCTION("""COMPUTED_VALUE"""),"普通科")</f>
        <v>普通科</v>
      </c>
      <c r="F32" s="9" t="str">
        <f>IFERROR(__xludf.DUMMYFUNCTION("""COMPUTED_VALUE"""),"三年級")</f>
        <v>三年級</v>
      </c>
      <c r="G32" s="10" t="str">
        <f>IFERROR(__xludf.DUMMYFUNCTION("""COMPUTED_VALUE"""),"獎狀")</f>
        <v>獎狀</v>
      </c>
      <c r="H32" s="9"/>
    </row>
    <row r="33">
      <c r="A33" s="5" t="s">
        <v>9</v>
      </c>
      <c r="B33" s="9" t="str">
        <f>IFERROR(__xludf.DUMMYFUNCTION("""COMPUTED_VALUE"""),"吳O綺")</f>
        <v>吳O綺</v>
      </c>
      <c r="C33" s="9" t="str">
        <f>IFERROR(__xludf.DUMMYFUNCTION("""COMPUTED_VALUE"""),"wu4*****@gmail.com")</f>
        <v>wu4*****@gmail.com</v>
      </c>
      <c r="D33" s="9" t="str">
        <f>IFERROR(__xludf.DUMMYFUNCTION("""COMPUTED_VALUE"""),"臺北市私立靜修高級中學")</f>
        <v>臺北市私立靜修高級中學</v>
      </c>
      <c r="E33" s="9" t="str">
        <f>IFERROR(__xludf.DUMMYFUNCTION("""COMPUTED_VALUE"""),"普通科")</f>
        <v>普通科</v>
      </c>
      <c r="F33" s="9" t="str">
        <f>IFERROR(__xludf.DUMMYFUNCTION("""COMPUTED_VALUE"""),"三年級")</f>
        <v>三年級</v>
      </c>
      <c r="G33" s="10" t="str">
        <f>IFERROR(__xludf.DUMMYFUNCTION("""COMPUTED_VALUE"""),"獎狀")</f>
        <v>獎狀</v>
      </c>
      <c r="H33" s="11"/>
    </row>
    <row r="34">
      <c r="A34" s="5" t="s">
        <v>9</v>
      </c>
      <c r="B34" s="9" t="str">
        <f>IFERROR(__xludf.DUMMYFUNCTION("""COMPUTED_VALUE"""),"張O雲")</f>
        <v>張O雲</v>
      </c>
      <c r="C34" s="9" t="str">
        <f>IFERROR(__xludf.DUMMYFUNCTION("""COMPUTED_VALUE"""),"kit*****68@gmail.com")</f>
        <v>kit*****68@gmail.com</v>
      </c>
      <c r="D34" s="9" t="str">
        <f>IFERROR(__xludf.DUMMYFUNCTION("""COMPUTED_VALUE"""),"臺北市立中山女子高級中學")</f>
        <v>臺北市立中山女子高級中學</v>
      </c>
      <c r="E34" s="9" t="str">
        <f>IFERROR(__xludf.DUMMYFUNCTION("""COMPUTED_VALUE"""),"普通科")</f>
        <v>普通科</v>
      </c>
      <c r="F34" s="9" t="str">
        <f>IFERROR(__xludf.DUMMYFUNCTION("""COMPUTED_VALUE"""),"一年級")</f>
        <v>一年級</v>
      </c>
      <c r="G34" s="10" t="str">
        <f>IFERROR(__xludf.DUMMYFUNCTION("""COMPUTED_VALUE"""),"獎狀")</f>
        <v>獎狀</v>
      </c>
      <c r="H34" s="11" t="str">
        <f>IFERROR(__xludf.DUMMYFUNCTION("""COMPUTED_VALUE"""),"學籍資料不齊，請提供【就讀班級】")</f>
        <v>學籍資料不齊，請提供【就讀班級】</v>
      </c>
    </row>
    <row r="35">
      <c r="A35" s="5" t="s">
        <v>9</v>
      </c>
      <c r="B35" s="9" t="str">
        <f>IFERROR(__xludf.DUMMYFUNCTION("""COMPUTED_VALUE"""),"楊O柔")</f>
        <v>楊O柔</v>
      </c>
      <c r="C35" s="9" t="str">
        <f>IFERROR(__xludf.DUMMYFUNCTION("""COMPUTED_VALUE"""),"113*****@m2.csghs.tp.edu.tw")</f>
        <v>113*****@m2.csghs.tp.edu.tw</v>
      </c>
      <c r="D35" s="9" t="str">
        <f>IFERROR(__xludf.DUMMYFUNCTION("""COMPUTED_VALUE"""),"臺北市立中山女子高級中學")</f>
        <v>臺北市立中山女子高級中學</v>
      </c>
      <c r="E35" s="9" t="str">
        <f>IFERROR(__xludf.DUMMYFUNCTION("""COMPUTED_VALUE"""),"普通科")</f>
        <v>普通科</v>
      </c>
      <c r="F35" s="9" t="str">
        <f>IFERROR(__xludf.DUMMYFUNCTION("""COMPUTED_VALUE"""),"一年級")</f>
        <v>一年級</v>
      </c>
      <c r="G35" s="10" t="str">
        <f>IFERROR(__xludf.DUMMYFUNCTION("""COMPUTED_VALUE"""),"獎狀")</f>
        <v>獎狀</v>
      </c>
      <c r="H35" s="9"/>
    </row>
    <row r="36">
      <c r="A36" s="5" t="s">
        <v>9</v>
      </c>
      <c r="B36" s="9" t="str">
        <f>IFERROR(__xludf.DUMMYFUNCTION("""COMPUTED_VALUE"""),"王O綾")</f>
        <v>王O綾</v>
      </c>
      <c r="C36" s="9" t="str">
        <f>IFERROR(__xludf.DUMMYFUNCTION("""COMPUTED_VALUE"""),"st1*****1@ms.tsh.ttu.edu.tw")</f>
        <v>st1*****1@ms.tsh.ttu.edu.tw</v>
      </c>
      <c r="D36" s="9" t="str">
        <f>IFERROR(__xludf.DUMMYFUNCTION("""COMPUTED_VALUE"""),"臺北市私立大同高級中學")</f>
        <v>臺北市私立大同高級中學</v>
      </c>
      <c r="E36" s="9" t="str">
        <f>IFERROR(__xludf.DUMMYFUNCTION("""COMPUTED_VALUE"""),"普通科")</f>
        <v>普通科</v>
      </c>
      <c r="F36" s="9" t="str">
        <f>IFERROR(__xludf.DUMMYFUNCTION("""COMPUTED_VALUE"""),"一年級")</f>
        <v>一年級</v>
      </c>
      <c r="G36" s="10" t="str">
        <f>IFERROR(__xludf.DUMMYFUNCTION("""COMPUTED_VALUE"""),"■商品卡$200")</f>
        <v>■商品卡$200</v>
      </c>
      <c r="H36" s="9"/>
    </row>
    <row r="37">
      <c r="A37" s="5" t="s">
        <v>9</v>
      </c>
      <c r="B37" s="9" t="str">
        <f>IFERROR(__xludf.DUMMYFUNCTION("""COMPUTED_VALUE"""),"顏O妮")</f>
        <v>顏O妮</v>
      </c>
      <c r="C37" s="9" t="str">
        <f>IFERROR(__xludf.DUMMYFUNCTION("""COMPUTED_VALUE"""),"st1*****7@ms.tsh.ttu.edu.tw")</f>
        <v>st1*****7@ms.tsh.ttu.edu.tw</v>
      </c>
      <c r="D37" s="9" t="str">
        <f>IFERROR(__xludf.DUMMYFUNCTION("""COMPUTED_VALUE"""),"臺北市私立大同高級中學")</f>
        <v>臺北市私立大同高級中學</v>
      </c>
      <c r="E37" s="9" t="str">
        <f>IFERROR(__xludf.DUMMYFUNCTION("""COMPUTED_VALUE"""),"普通科")</f>
        <v>普通科</v>
      </c>
      <c r="F37" s="9" t="str">
        <f>IFERROR(__xludf.DUMMYFUNCTION("""COMPUTED_VALUE"""),"一年級")</f>
        <v>一年級</v>
      </c>
      <c r="G37" s="10" t="str">
        <f>IFERROR(__xludf.DUMMYFUNCTION("""COMPUTED_VALUE"""),"獎狀")</f>
        <v>獎狀</v>
      </c>
      <c r="H37" s="9"/>
    </row>
    <row r="38">
      <c r="A38" s="5" t="s">
        <v>9</v>
      </c>
      <c r="B38" s="9" t="str">
        <f>IFERROR(__xludf.DUMMYFUNCTION("""COMPUTED_VALUE"""),"林O潔")</f>
        <v>林O潔</v>
      </c>
      <c r="C38" s="9" t="str">
        <f>IFERROR(__xludf.DUMMYFUNCTION("""COMPUTED_VALUE"""),"st1*****5@ms.tsh.ttu.edu.tw")</f>
        <v>st1*****5@ms.tsh.ttu.edu.tw</v>
      </c>
      <c r="D38" s="9" t="str">
        <f>IFERROR(__xludf.DUMMYFUNCTION("""COMPUTED_VALUE"""),"臺北市私立大同高級中學")</f>
        <v>臺北市私立大同高級中學</v>
      </c>
      <c r="E38" s="9" t="str">
        <f>IFERROR(__xludf.DUMMYFUNCTION("""COMPUTED_VALUE"""),"普通科")</f>
        <v>普通科</v>
      </c>
      <c r="F38" s="9" t="str">
        <f>IFERROR(__xludf.DUMMYFUNCTION("""COMPUTED_VALUE"""),"二年級")</f>
        <v>二年級</v>
      </c>
      <c r="G38" s="10" t="str">
        <f>IFERROR(__xludf.DUMMYFUNCTION("""COMPUTED_VALUE"""),"獎狀")</f>
        <v>獎狀</v>
      </c>
      <c r="H38" s="9"/>
    </row>
    <row r="39">
      <c r="A39" s="5" t="s">
        <v>9</v>
      </c>
      <c r="B39" s="9" t="str">
        <f>IFERROR(__xludf.DUMMYFUNCTION("""COMPUTED_VALUE"""),"李O叡")</f>
        <v>李O叡</v>
      </c>
      <c r="C39" s="9" t="str">
        <f>IFERROR(__xludf.DUMMYFUNCTION("""COMPUTED_VALUE"""),"st1*****7@ms.tsh.ttu.edu.tw")</f>
        <v>st1*****7@ms.tsh.ttu.edu.tw</v>
      </c>
      <c r="D39" s="9" t="str">
        <f>IFERROR(__xludf.DUMMYFUNCTION("""COMPUTED_VALUE"""),"臺北市私立大同高級中學")</f>
        <v>臺北市私立大同高級中學</v>
      </c>
      <c r="E39" s="9" t="str">
        <f>IFERROR(__xludf.DUMMYFUNCTION("""COMPUTED_VALUE"""),"普通科")</f>
        <v>普通科</v>
      </c>
      <c r="F39" s="9" t="str">
        <f>IFERROR(__xludf.DUMMYFUNCTION("""COMPUTED_VALUE"""),"一年級")</f>
        <v>一年級</v>
      </c>
      <c r="G39" s="10" t="str">
        <f>IFERROR(__xludf.DUMMYFUNCTION("""COMPUTED_VALUE"""),"獎狀")</f>
        <v>獎狀</v>
      </c>
      <c r="H39" s="9"/>
    </row>
    <row r="40">
      <c r="A40" s="5" t="s">
        <v>9</v>
      </c>
      <c r="B40" s="9" t="str">
        <f>IFERROR(__xludf.DUMMYFUNCTION("""COMPUTED_VALUE"""),"鍾O軒")</f>
        <v>鍾O軒</v>
      </c>
      <c r="C40" s="9" t="str">
        <f>IFERROR(__xludf.DUMMYFUNCTION("""COMPUTED_VALUE"""),"st1*****7@ms.tsh.ttu.edu.tw")</f>
        <v>st1*****7@ms.tsh.ttu.edu.tw</v>
      </c>
      <c r="D40" s="9" t="str">
        <f>IFERROR(__xludf.DUMMYFUNCTION("""COMPUTED_VALUE"""),"臺北市私立大同高級中學")</f>
        <v>臺北市私立大同高級中學</v>
      </c>
      <c r="E40" s="9" t="str">
        <f>IFERROR(__xludf.DUMMYFUNCTION("""COMPUTED_VALUE"""),"普通科")</f>
        <v>普通科</v>
      </c>
      <c r="F40" s="9" t="str">
        <f>IFERROR(__xludf.DUMMYFUNCTION("""COMPUTED_VALUE"""),"一年級")</f>
        <v>一年級</v>
      </c>
      <c r="G40" s="10" t="str">
        <f>IFERROR(__xludf.DUMMYFUNCTION("""COMPUTED_VALUE"""),"獎狀")</f>
        <v>獎狀</v>
      </c>
      <c r="H40" s="9"/>
    </row>
    <row r="41">
      <c r="A41" s="5" t="s">
        <v>9</v>
      </c>
      <c r="B41" s="9" t="str">
        <f>IFERROR(__xludf.DUMMYFUNCTION("""COMPUTED_VALUE"""),"郭O")</f>
        <v>郭O</v>
      </c>
      <c r="C41" s="9" t="str">
        <f>IFERROR(__xludf.DUMMYFUNCTION("""COMPUTED_VALUE"""),"st1*****0@ms.tsh.ttu.edu.tw")</f>
        <v>st1*****0@ms.tsh.ttu.edu.tw</v>
      </c>
      <c r="D41" s="9" t="str">
        <f>IFERROR(__xludf.DUMMYFUNCTION("""COMPUTED_VALUE"""),"臺北市私立大同高級中學")</f>
        <v>臺北市私立大同高級中學</v>
      </c>
      <c r="E41" s="9" t="str">
        <f>IFERROR(__xludf.DUMMYFUNCTION("""COMPUTED_VALUE"""),"普通科")</f>
        <v>普通科</v>
      </c>
      <c r="F41" s="9" t="str">
        <f>IFERROR(__xludf.DUMMYFUNCTION("""COMPUTED_VALUE"""),"二年級")</f>
        <v>二年級</v>
      </c>
      <c r="G41" s="10" t="str">
        <f>IFERROR(__xludf.DUMMYFUNCTION("""COMPUTED_VALUE"""),"獎狀")</f>
        <v>獎狀</v>
      </c>
      <c r="H41" s="9"/>
    </row>
    <row r="42">
      <c r="A42" s="5" t="s">
        <v>9</v>
      </c>
      <c r="B42" s="9" t="str">
        <f>IFERROR(__xludf.DUMMYFUNCTION("""COMPUTED_VALUE"""),"譚O晨")</f>
        <v>譚O晨</v>
      </c>
      <c r="C42" s="9" t="str">
        <f>IFERROR(__xludf.DUMMYFUNCTION("""COMPUTED_VALUE"""),"st1*****9@ms.tsh.ttu.edu.tw")</f>
        <v>st1*****9@ms.tsh.ttu.edu.tw</v>
      </c>
      <c r="D42" s="9" t="str">
        <f>IFERROR(__xludf.DUMMYFUNCTION("""COMPUTED_VALUE"""),"臺北市私立大同高級中學")</f>
        <v>臺北市私立大同高級中學</v>
      </c>
      <c r="E42" s="9" t="str">
        <f>IFERROR(__xludf.DUMMYFUNCTION("""COMPUTED_VALUE"""),"普通科")</f>
        <v>普通科</v>
      </c>
      <c r="F42" s="9" t="str">
        <f>IFERROR(__xludf.DUMMYFUNCTION("""COMPUTED_VALUE"""),"二年級")</f>
        <v>二年級</v>
      </c>
      <c r="G42" s="10" t="str">
        <f>IFERROR(__xludf.DUMMYFUNCTION("""COMPUTED_VALUE"""),"獎狀")</f>
        <v>獎狀</v>
      </c>
      <c r="H42" s="9"/>
    </row>
    <row r="43">
      <c r="A43" s="5" t="s">
        <v>9</v>
      </c>
      <c r="B43" s="9" t="str">
        <f>IFERROR(__xludf.DUMMYFUNCTION("""COMPUTED_VALUE"""),"陳O安")</f>
        <v>陳O安</v>
      </c>
      <c r="C43" s="9" t="str">
        <f>IFERROR(__xludf.DUMMYFUNCTION("""COMPUTED_VALUE"""),"st1*****2@ms.tsh.ttu.edu.tw")</f>
        <v>st1*****2@ms.tsh.ttu.edu.tw</v>
      </c>
      <c r="D43" s="9" t="str">
        <f>IFERROR(__xludf.DUMMYFUNCTION("""COMPUTED_VALUE"""),"臺北市私立大同高級中學")</f>
        <v>臺北市私立大同高級中學</v>
      </c>
      <c r="E43" s="9" t="str">
        <f>IFERROR(__xludf.DUMMYFUNCTION("""COMPUTED_VALUE"""),"普通科")</f>
        <v>普通科</v>
      </c>
      <c r="F43" s="9" t="str">
        <f>IFERROR(__xludf.DUMMYFUNCTION("""COMPUTED_VALUE"""),"二年級")</f>
        <v>二年級</v>
      </c>
      <c r="G43" s="10" t="str">
        <f>IFERROR(__xludf.DUMMYFUNCTION("""COMPUTED_VALUE"""),"■商品卡$200")</f>
        <v>■商品卡$200</v>
      </c>
      <c r="H43" s="9"/>
    </row>
    <row r="44">
      <c r="A44" s="5" t="s">
        <v>9</v>
      </c>
      <c r="B44" s="9" t="str">
        <f>IFERROR(__xludf.DUMMYFUNCTION("""COMPUTED_VALUE"""),"阮O言")</f>
        <v>阮O言</v>
      </c>
      <c r="C44" s="9" t="str">
        <f>IFERROR(__xludf.DUMMYFUNCTION("""COMPUTED_VALUE"""),"st1*****2@ms.tsh.ttu.edu.tw")</f>
        <v>st1*****2@ms.tsh.ttu.edu.tw</v>
      </c>
      <c r="D44" s="9" t="str">
        <f>IFERROR(__xludf.DUMMYFUNCTION("""COMPUTED_VALUE"""),"臺北市私立大同高級中學")</f>
        <v>臺北市私立大同高級中學</v>
      </c>
      <c r="E44" s="9" t="str">
        <f>IFERROR(__xludf.DUMMYFUNCTION("""COMPUTED_VALUE"""),"普通科")</f>
        <v>普通科</v>
      </c>
      <c r="F44" s="9" t="str">
        <f>IFERROR(__xludf.DUMMYFUNCTION("""COMPUTED_VALUE"""),"二年級")</f>
        <v>二年級</v>
      </c>
      <c r="G44" s="10" t="str">
        <f>IFERROR(__xludf.DUMMYFUNCTION("""COMPUTED_VALUE"""),"獎狀")</f>
        <v>獎狀</v>
      </c>
      <c r="H44" s="9"/>
    </row>
    <row r="45">
      <c r="A45" s="5" t="s">
        <v>9</v>
      </c>
      <c r="B45" s="9" t="str">
        <f>IFERROR(__xludf.DUMMYFUNCTION("""COMPUTED_VALUE"""),"陳O邦")</f>
        <v>陳O邦</v>
      </c>
      <c r="C45" s="9" t="str">
        <f>IFERROR(__xludf.DUMMYFUNCTION("""COMPUTED_VALUE"""),"st1*****5@ms.tsh.ttu.edu.tw")</f>
        <v>st1*****5@ms.tsh.ttu.edu.tw</v>
      </c>
      <c r="D45" s="9" t="str">
        <f>IFERROR(__xludf.DUMMYFUNCTION("""COMPUTED_VALUE"""),"臺北市私立大同高級中學")</f>
        <v>臺北市私立大同高級中學</v>
      </c>
      <c r="E45" s="9" t="str">
        <f>IFERROR(__xludf.DUMMYFUNCTION("""COMPUTED_VALUE"""),"普通科")</f>
        <v>普通科</v>
      </c>
      <c r="F45" s="9" t="str">
        <f>IFERROR(__xludf.DUMMYFUNCTION("""COMPUTED_VALUE"""),"二年級")</f>
        <v>二年級</v>
      </c>
      <c r="G45" s="10" t="str">
        <f>IFERROR(__xludf.DUMMYFUNCTION("""COMPUTED_VALUE"""),"獎狀")</f>
        <v>獎狀</v>
      </c>
      <c r="H45" s="9"/>
    </row>
    <row r="46">
      <c r="A46" s="5" t="s">
        <v>9</v>
      </c>
      <c r="B46" s="9" t="str">
        <f>IFERROR(__xludf.DUMMYFUNCTION("""COMPUTED_VALUE"""),"陳O睿")</f>
        <v>陳O睿</v>
      </c>
      <c r="C46" s="9" t="str">
        <f>IFERROR(__xludf.DUMMYFUNCTION("""COMPUTED_VALUE"""),"st1*****4@ms.tsh.ttu.edu.tw")</f>
        <v>st1*****4@ms.tsh.ttu.edu.tw</v>
      </c>
      <c r="D46" s="9" t="str">
        <f>IFERROR(__xludf.DUMMYFUNCTION("""COMPUTED_VALUE"""),"臺北市私立大同高級中學")</f>
        <v>臺北市私立大同高級中學</v>
      </c>
      <c r="E46" s="9" t="str">
        <f>IFERROR(__xludf.DUMMYFUNCTION("""COMPUTED_VALUE"""),"普通科")</f>
        <v>普通科</v>
      </c>
      <c r="F46" s="9" t="str">
        <f>IFERROR(__xludf.DUMMYFUNCTION("""COMPUTED_VALUE"""),"二年級")</f>
        <v>二年級</v>
      </c>
      <c r="G46" s="10" t="str">
        <f>IFERROR(__xludf.DUMMYFUNCTION("""COMPUTED_VALUE"""),"獎狀")</f>
        <v>獎狀</v>
      </c>
      <c r="H46" s="9"/>
    </row>
    <row r="47">
      <c r="A47" s="5" t="s">
        <v>9</v>
      </c>
      <c r="B47" s="9" t="str">
        <f>IFERROR(__xludf.DUMMYFUNCTION("""COMPUTED_VALUE"""),"陶O伃")</f>
        <v>陶O伃</v>
      </c>
      <c r="C47" s="9" t="str">
        <f>IFERROR(__xludf.DUMMYFUNCTION("""COMPUTED_VALUE"""),"st1*****3@ms.tsh.ttu.edu.tw")</f>
        <v>st1*****3@ms.tsh.ttu.edu.tw</v>
      </c>
      <c r="D47" s="9" t="str">
        <f>IFERROR(__xludf.DUMMYFUNCTION("""COMPUTED_VALUE"""),"臺北市私立大同高級中學")</f>
        <v>臺北市私立大同高級中學</v>
      </c>
      <c r="E47" s="9" t="str">
        <f>IFERROR(__xludf.DUMMYFUNCTION("""COMPUTED_VALUE"""),"普通科")</f>
        <v>普通科</v>
      </c>
      <c r="F47" s="9" t="str">
        <f>IFERROR(__xludf.DUMMYFUNCTION("""COMPUTED_VALUE"""),"二年級")</f>
        <v>二年級</v>
      </c>
      <c r="G47" s="10" t="str">
        <f>IFERROR(__xludf.DUMMYFUNCTION("""COMPUTED_VALUE"""),"獎狀")</f>
        <v>獎狀</v>
      </c>
      <c r="H47" s="9"/>
    </row>
    <row r="48">
      <c r="A48" s="5" t="s">
        <v>9</v>
      </c>
      <c r="B48" s="9" t="str">
        <f>IFERROR(__xludf.DUMMYFUNCTION("""COMPUTED_VALUE"""),"蘇O瑋")</f>
        <v>蘇O瑋</v>
      </c>
      <c r="C48" s="9" t="str">
        <f>IFERROR(__xludf.DUMMYFUNCTION("""COMPUTED_VALUE"""),"st1*****6@ms.tsh.ttu.edu.tw")</f>
        <v>st1*****6@ms.tsh.ttu.edu.tw</v>
      </c>
      <c r="D48" s="9" t="str">
        <f>IFERROR(__xludf.DUMMYFUNCTION("""COMPUTED_VALUE"""),"臺北市私立大同高級中學")</f>
        <v>臺北市私立大同高級中學</v>
      </c>
      <c r="E48" s="9" t="str">
        <f>IFERROR(__xludf.DUMMYFUNCTION("""COMPUTED_VALUE"""),"普通科")</f>
        <v>普通科</v>
      </c>
      <c r="F48" s="9" t="str">
        <f>IFERROR(__xludf.DUMMYFUNCTION("""COMPUTED_VALUE"""),"二年級")</f>
        <v>二年級</v>
      </c>
      <c r="G48" s="10" t="str">
        <f>IFERROR(__xludf.DUMMYFUNCTION("""COMPUTED_VALUE"""),"獎狀")</f>
        <v>獎狀</v>
      </c>
      <c r="H48" s="9"/>
    </row>
    <row r="49">
      <c r="A49" s="5" t="s">
        <v>9</v>
      </c>
      <c r="B49" s="9" t="str">
        <f>IFERROR(__xludf.DUMMYFUNCTION("""COMPUTED_VALUE"""),"郭O睿")</f>
        <v>郭O睿</v>
      </c>
      <c r="C49" s="9" t="str">
        <f>IFERROR(__xludf.DUMMYFUNCTION("""COMPUTED_VALUE"""),"st1*****1@ms.tsh.ttu.edu.tw")</f>
        <v>st1*****1@ms.tsh.ttu.edu.tw</v>
      </c>
      <c r="D49" s="9" t="str">
        <f>IFERROR(__xludf.DUMMYFUNCTION("""COMPUTED_VALUE"""),"臺北市私立大同高級中學")</f>
        <v>臺北市私立大同高級中學</v>
      </c>
      <c r="E49" s="9" t="str">
        <f>IFERROR(__xludf.DUMMYFUNCTION("""COMPUTED_VALUE"""),"普通科")</f>
        <v>普通科</v>
      </c>
      <c r="F49" s="9" t="str">
        <f>IFERROR(__xludf.DUMMYFUNCTION("""COMPUTED_VALUE"""),"二年級")</f>
        <v>二年級</v>
      </c>
      <c r="G49" s="10" t="str">
        <f>IFERROR(__xludf.DUMMYFUNCTION("""COMPUTED_VALUE"""),"獎狀")</f>
        <v>獎狀</v>
      </c>
      <c r="H49" s="9"/>
    </row>
    <row r="50">
      <c r="A50" s="5" t="s">
        <v>9</v>
      </c>
      <c r="B50" s="9" t="str">
        <f>IFERROR(__xludf.DUMMYFUNCTION("""COMPUTED_VALUE"""),"李O妮")</f>
        <v>李O妮</v>
      </c>
      <c r="C50" s="9" t="str">
        <f>IFERROR(__xludf.DUMMYFUNCTION("""COMPUTED_VALUE"""),"st1*****4@ms.tsh.ttu.edu.tw")</f>
        <v>st1*****4@ms.tsh.ttu.edu.tw</v>
      </c>
      <c r="D50" s="9" t="str">
        <f>IFERROR(__xludf.DUMMYFUNCTION("""COMPUTED_VALUE"""),"臺北市私立大同高級中學")</f>
        <v>臺北市私立大同高級中學</v>
      </c>
      <c r="E50" s="9" t="str">
        <f>IFERROR(__xludf.DUMMYFUNCTION("""COMPUTED_VALUE"""),"普通科")</f>
        <v>普通科</v>
      </c>
      <c r="F50" s="9" t="str">
        <f>IFERROR(__xludf.DUMMYFUNCTION("""COMPUTED_VALUE"""),"二年級")</f>
        <v>二年級</v>
      </c>
      <c r="G50" s="10" t="str">
        <f>IFERROR(__xludf.DUMMYFUNCTION("""COMPUTED_VALUE"""),"■商品卡$200")</f>
        <v>■商品卡$200</v>
      </c>
      <c r="H50" s="9"/>
    </row>
    <row r="51">
      <c r="A51" s="5" t="s">
        <v>9</v>
      </c>
      <c r="B51" s="9" t="str">
        <f>IFERROR(__xludf.DUMMYFUNCTION("""COMPUTED_VALUE"""),"顧O淵")</f>
        <v>顧O淵</v>
      </c>
      <c r="C51" s="9" t="str">
        <f>IFERROR(__xludf.DUMMYFUNCTION("""COMPUTED_VALUE"""),"st1*****7@ms.tsh.ttu.edu.tw")</f>
        <v>st1*****7@ms.tsh.ttu.edu.tw</v>
      </c>
      <c r="D51" s="9" t="str">
        <f>IFERROR(__xludf.DUMMYFUNCTION("""COMPUTED_VALUE"""),"臺北市私立大同高級中學")</f>
        <v>臺北市私立大同高級中學</v>
      </c>
      <c r="E51" s="9" t="str">
        <f>IFERROR(__xludf.DUMMYFUNCTION("""COMPUTED_VALUE"""),"普通科")</f>
        <v>普通科</v>
      </c>
      <c r="F51" s="9" t="str">
        <f>IFERROR(__xludf.DUMMYFUNCTION("""COMPUTED_VALUE"""),"二年級")</f>
        <v>二年級</v>
      </c>
      <c r="G51" s="10" t="str">
        <f>IFERROR(__xludf.DUMMYFUNCTION("""COMPUTED_VALUE"""),"獎狀")</f>
        <v>獎狀</v>
      </c>
      <c r="H51" s="9"/>
    </row>
    <row r="52">
      <c r="A52" s="5" t="s">
        <v>9</v>
      </c>
      <c r="B52" s="9" t="str">
        <f>IFERROR(__xludf.DUMMYFUNCTION("""COMPUTED_VALUE"""),"高O希")</f>
        <v>高O希</v>
      </c>
      <c r="C52" s="9" t="str">
        <f>IFERROR(__xludf.DUMMYFUNCTION("""COMPUTED_VALUE"""),"st1*****9@ms.tsh.ttu.edu.tw")</f>
        <v>st1*****9@ms.tsh.ttu.edu.tw</v>
      </c>
      <c r="D52" s="9" t="str">
        <f>IFERROR(__xludf.DUMMYFUNCTION("""COMPUTED_VALUE"""),"臺北市私立大同高級中學")</f>
        <v>臺北市私立大同高級中學</v>
      </c>
      <c r="E52" s="9" t="str">
        <f>IFERROR(__xludf.DUMMYFUNCTION("""COMPUTED_VALUE"""),"普通科")</f>
        <v>普通科</v>
      </c>
      <c r="F52" s="9" t="str">
        <f>IFERROR(__xludf.DUMMYFUNCTION("""COMPUTED_VALUE"""),"二年級")</f>
        <v>二年級</v>
      </c>
      <c r="G52" s="10" t="str">
        <f>IFERROR(__xludf.DUMMYFUNCTION("""COMPUTED_VALUE"""),"獎狀")</f>
        <v>獎狀</v>
      </c>
      <c r="H52" s="9"/>
    </row>
    <row r="53">
      <c r="A53" s="5" t="s">
        <v>9</v>
      </c>
      <c r="B53" s="9" t="str">
        <f>IFERROR(__xludf.DUMMYFUNCTION("""COMPUTED_VALUE"""),"陳O安")</f>
        <v>陳O安</v>
      </c>
      <c r="C53" s="9" t="str">
        <f>IFERROR(__xludf.DUMMYFUNCTION("""COMPUTED_VALUE"""),"st1*****7@ms.tsh.ttu.edu.tw")</f>
        <v>st1*****7@ms.tsh.ttu.edu.tw</v>
      </c>
      <c r="D53" s="9" t="str">
        <f>IFERROR(__xludf.DUMMYFUNCTION("""COMPUTED_VALUE"""),"臺北市私立大同高級中學")</f>
        <v>臺北市私立大同高級中學</v>
      </c>
      <c r="E53" s="9" t="str">
        <f>IFERROR(__xludf.DUMMYFUNCTION("""COMPUTED_VALUE"""),"普通科")</f>
        <v>普通科</v>
      </c>
      <c r="F53" s="9" t="str">
        <f>IFERROR(__xludf.DUMMYFUNCTION("""COMPUTED_VALUE"""),"二年級")</f>
        <v>二年級</v>
      </c>
      <c r="G53" s="10" t="str">
        <f>IFERROR(__xludf.DUMMYFUNCTION("""COMPUTED_VALUE"""),"獎狀")</f>
        <v>獎狀</v>
      </c>
      <c r="H53" s="9"/>
    </row>
    <row r="54">
      <c r="A54" s="5" t="s">
        <v>9</v>
      </c>
      <c r="B54" s="9" t="str">
        <f>IFERROR(__xludf.DUMMYFUNCTION("""COMPUTED_VALUE"""),"吳O庭")</f>
        <v>吳O庭</v>
      </c>
      <c r="C54" s="9" t="str">
        <f>IFERROR(__xludf.DUMMYFUNCTION("""COMPUTED_VALUE"""),"st1*****1@ms.tsh.ttu.edu.tw")</f>
        <v>st1*****1@ms.tsh.ttu.edu.tw</v>
      </c>
      <c r="D54" s="9" t="str">
        <f>IFERROR(__xludf.DUMMYFUNCTION("""COMPUTED_VALUE"""),"臺北市私立大同高級中學")</f>
        <v>臺北市私立大同高級中學</v>
      </c>
      <c r="E54" s="9" t="str">
        <f>IFERROR(__xludf.DUMMYFUNCTION("""COMPUTED_VALUE"""),"普通科")</f>
        <v>普通科</v>
      </c>
      <c r="F54" s="9" t="str">
        <f>IFERROR(__xludf.DUMMYFUNCTION("""COMPUTED_VALUE"""),"二年級")</f>
        <v>二年級</v>
      </c>
      <c r="G54" s="10" t="str">
        <f>IFERROR(__xludf.DUMMYFUNCTION("""COMPUTED_VALUE"""),"獎狀")</f>
        <v>獎狀</v>
      </c>
      <c r="H54" s="9"/>
    </row>
    <row r="55">
      <c r="A55" s="5" t="s">
        <v>9</v>
      </c>
      <c r="B55" s="9" t="str">
        <f>IFERROR(__xludf.DUMMYFUNCTION("""COMPUTED_VALUE"""),"陳O妍")</f>
        <v>陳O妍</v>
      </c>
      <c r="C55" s="9" t="str">
        <f>IFERROR(__xludf.DUMMYFUNCTION("""COMPUTED_VALUE"""),"st1*****0@ms.tsh.ttu.edu.tw")</f>
        <v>st1*****0@ms.tsh.ttu.edu.tw</v>
      </c>
      <c r="D55" s="9" t="str">
        <f>IFERROR(__xludf.DUMMYFUNCTION("""COMPUTED_VALUE"""),"臺北市私立大同高級中學")</f>
        <v>臺北市私立大同高級中學</v>
      </c>
      <c r="E55" s="9" t="str">
        <f>IFERROR(__xludf.DUMMYFUNCTION("""COMPUTED_VALUE"""),"普通科")</f>
        <v>普通科</v>
      </c>
      <c r="F55" s="9" t="str">
        <f>IFERROR(__xludf.DUMMYFUNCTION("""COMPUTED_VALUE"""),"二年級")</f>
        <v>二年級</v>
      </c>
      <c r="G55" s="10" t="str">
        <f>IFERROR(__xludf.DUMMYFUNCTION("""COMPUTED_VALUE"""),"獎狀")</f>
        <v>獎狀</v>
      </c>
      <c r="H55" s="9"/>
    </row>
    <row r="56">
      <c r="A56" s="5" t="s">
        <v>9</v>
      </c>
      <c r="B56" s="9" t="str">
        <f>IFERROR(__xludf.DUMMYFUNCTION("""COMPUTED_VALUE"""),"簡O恩")</f>
        <v>簡O恩</v>
      </c>
      <c r="C56" s="9" t="str">
        <f>IFERROR(__xludf.DUMMYFUNCTION("""COMPUTED_VALUE"""),"st1*****6@ms.tsh.ttu.edu.tw")</f>
        <v>st1*****6@ms.tsh.ttu.edu.tw</v>
      </c>
      <c r="D56" s="9" t="str">
        <f>IFERROR(__xludf.DUMMYFUNCTION("""COMPUTED_VALUE"""),"臺北市私立大同高級中學")</f>
        <v>臺北市私立大同高級中學</v>
      </c>
      <c r="E56" s="9" t="str">
        <f>IFERROR(__xludf.DUMMYFUNCTION("""COMPUTED_VALUE"""),"普通科")</f>
        <v>普通科</v>
      </c>
      <c r="F56" s="9" t="str">
        <f>IFERROR(__xludf.DUMMYFUNCTION("""COMPUTED_VALUE"""),"二年級")</f>
        <v>二年級</v>
      </c>
      <c r="G56" s="10" t="str">
        <f>IFERROR(__xludf.DUMMYFUNCTION("""COMPUTED_VALUE"""),"獎狀")</f>
        <v>獎狀</v>
      </c>
      <c r="H56" s="9"/>
    </row>
    <row r="57">
      <c r="A57" s="5" t="s">
        <v>9</v>
      </c>
      <c r="B57" s="9" t="str">
        <f>IFERROR(__xludf.DUMMYFUNCTION("""COMPUTED_VALUE"""),"葉O宸")</f>
        <v>葉O宸</v>
      </c>
      <c r="C57" s="9" t="str">
        <f>IFERROR(__xludf.DUMMYFUNCTION("""COMPUTED_VALUE"""),"st1*****0@ms.tsh.ttu.edu.tw")</f>
        <v>st1*****0@ms.tsh.ttu.edu.tw</v>
      </c>
      <c r="D57" s="9" t="str">
        <f>IFERROR(__xludf.DUMMYFUNCTION("""COMPUTED_VALUE"""),"臺北市私立大同高級中學")</f>
        <v>臺北市私立大同高級中學</v>
      </c>
      <c r="E57" s="9" t="str">
        <f>IFERROR(__xludf.DUMMYFUNCTION("""COMPUTED_VALUE"""),"普通科")</f>
        <v>普通科</v>
      </c>
      <c r="F57" s="9" t="str">
        <f>IFERROR(__xludf.DUMMYFUNCTION("""COMPUTED_VALUE"""),"二年級")</f>
        <v>二年級</v>
      </c>
      <c r="G57" s="10" t="str">
        <f>IFERROR(__xludf.DUMMYFUNCTION("""COMPUTED_VALUE"""),"獎狀")</f>
        <v>獎狀</v>
      </c>
      <c r="H57" s="9"/>
    </row>
    <row r="58">
      <c r="A58" s="5" t="s">
        <v>9</v>
      </c>
      <c r="B58" s="9" t="str">
        <f>IFERROR(__xludf.DUMMYFUNCTION("""COMPUTED_VALUE"""),"許O喆")</f>
        <v>許O喆</v>
      </c>
      <c r="C58" s="9" t="str">
        <f>IFERROR(__xludf.DUMMYFUNCTION("""COMPUTED_VALUE"""),"st1*****9@ms.tsh.ttu.edu.tw")</f>
        <v>st1*****9@ms.tsh.ttu.edu.tw</v>
      </c>
      <c r="D58" s="9" t="str">
        <f>IFERROR(__xludf.DUMMYFUNCTION("""COMPUTED_VALUE"""),"臺北市私立大同高級中學")</f>
        <v>臺北市私立大同高級中學</v>
      </c>
      <c r="E58" s="9" t="str">
        <f>IFERROR(__xludf.DUMMYFUNCTION("""COMPUTED_VALUE"""),"普通科")</f>
        <v>普通科</v>
      </c>
      <c r="F58" s="9" t="str">
        <f>IFERROR(__xludf.DUMMYFUNCTION("""COMPUTED_VALUE"""),"二年級")</f>
        <v>二年級</v>
      </c>
      <c r="G58" s="10" t="str">
        <f>IFERROR(__xludf.DUMMYFUNCTION("""COMPUTED_VALUE"""),"獎狀")</f>
        <v>獎狀</v>
      </c>
      <c r="H58" s="9"/>
    </row>
    <row r="59">
      <c r="A59" s="5" t="s">
        <v>9</v>
      </c>
      <c r="B59" s="9" t="str">
        <f>IFERROR(__xludf.DUMMYFUNCTION("""COMPUTED_VALUE"""),"賴O宇")</f>
        <v>賴O宇</v>
      </c>
      <c r="C59" s="9" t="str">
        <f>IFERROR(__xludf.DUMMYFUNCTION("""COMPUTED_VALUE"""),"st1*****4@ms.tsh.ttu.edu.tw")</f>
        <v>st1*****4@ms.tsh.ttu.edu.tw</v>
      </c>
      <c r="D59" s="9" t="str">
        <f>IFERROR(__xludf.DUMMYFUNCTION("""COMPUTED_VALUE"""),"臺北市私立大同高級中學")</f>
        <v>臺北市私立大同高級中學</v>
      </c>
      <c r="E59" s="9" t="str">
        <f>IFERROR(__xludf.DUMMYFUNCTION("""COMPUTED_VALUE"""),"普通科")</f>
        <v>普通科</v>
      </c>
      <c r="F59" s="9" t="str">
        <f>IFERROR(__xludf.DUMMYFUNCTION("""COMPUTED_VALUE"""),"二年級")</f>
        <v>二年級</v>
      </c>
      <c r="G59" s="10" t="str">
        <f>IFERROR(__xludf.DUMMYFUNCTION("""COMPUTED_VALUE"""),"獎狀")</f>
        <v>獎狀</v>
      </c>
      <c r="H59" s="9"/>
    </row>
    <row r="60">
      <c r="A60" s="5" t="s">
        <v>9</v>
      </c>
      <c r="B60" s="9" t="str">
        <f>IFERROR(__xludf.DUMMYFUNCTION("""COMPUTED_VALUE"""),"湯O賢")</f>
        <v>湯O賢</v>
      </c>
      <c r="C60" s="9" t="str">
        <f>IFERROR(__xludf.DUMMYFUNCTION("""COMPUTED_VALUE"""),"st1*****9@ms.tsh.ttu.edu.tw")</f>
        <v>st1*****9@ms.tsh.ttu.edu.tw</v>
      </c>
      <c r="D60" s="9" t="str">
        <f>IFERROR(__xludf.DUMMYFUNCTION("""COMPUTED_VALUE"""),"臺北市私立大同高級中學")</f>
        <v>臺北市私立大同高級中學</v>
      </c>
      <c r="E60" s="9" t="str">
        <f>IFERROR(__xludf.DUMMYFUNCTION("""COMPUTED_VALUE"""),"普通科")</f>
        <v>普通科</v>
      </c>
      <c r="F60" s="9" t="str">
        <f>IFERROR(__xludf.DUMMYFUNCTION("""COMPUTED_VALUE"""),"二年級")</f>
        <v>二年級</v>
      </c>
      <c r="G60" s="10" t="str">
        <f>IFERROR(__xludf.DUMMYFUNCTION("""COMPUTED_VALUE"""),"■商品卡$200")</f>
        <v>■商品卡$200</v>
      </c>
      <c r="H60" s="9"/>
    </row>
    <row r="61">
      <c r="A61" s="5" t="s">
        <v>9</v>
      </c>
      <c r="B61" s="9" t="str">
        <f>IFERROR(__xludf.DUMMYFUNCTION("""COMPUTED_VALUE"""),"顏O竣")</f>
        <v>顏O竣</v>
      </c>
      <c r="C61" s="9" t="str">
        <f>IFERROR(__xludf.DUMMYFUNCTION("""COMPUTED_VALUE"""),"st1*****5@ms.tsh.ttu.edu.tw")</f>
        <v>st1*****5@ms.tsh.ttu.edu.tw</v>
      </c>
      <c r="D61" s="9" t="str">
        <f>IFERROR(__xludf.DUMMYFUNCTION("""COMPUTED_VALUE"""),"臺北市私立大同高級中學")</f>
        <v>臺北市私立大同高級中學</v>
      </c>
      <c r="E61" s="9" t="str">
        <f>IFERROR(__xludf.DUMMYFUNCTION("""COMPUTED_VALUE"""),"普通科")</f>
        <v>普通科</v>
      </c>
      <c r="F61" s="9" t="str">
        <f>IFERROR(__xludf.DUMMYFUNCTION("""COMPUTED_VALUE"""),"二年級")</f>
        <v>二年級</v>
      </c>
      <c r="G61" s="10" t="str">
        <f>IFERROR(__xludf.DUMMYFUNCTION("""COMPUTED_VALUE"""),"獎狀")</f>
        <v>獎狀</v>
      </c>
      <c r="H61" s="9"/>
    </row>
    <row r="62">
      <c r="A62" s="5" t="s">
        <v>9</v>
      </c>
      <c r="B62" s="9" t="str">
        <f>IFERROR(__xludf.DUMMYFUNCTION("""COMPUTED_VALUE"""),"劉O鈞")</f>
        <v>劉O鈞</v>
      </c>
      <c r="C62" s="9" t="str">
        <f>IFERROR(__xludf.DUMMYFUNCTION("""COMPUTED_VALUE"""),"st1*****2@ms.tsh.ttu.edu.tw")</f>
        <v>st1*****2@ms.tsh.ttu.edu.tw</v>
      </c>
      <c r="D62" s="9" t="str">
        <f>IFERROR(__xludf.DUMMYFUNCTION("""COMPUTED_VALUE"""),"臺北市私立大同高級中學")</f>
        <v>臺北市私立大同高級中學</v>
      </c>
      <c r="E62" s="9" t="str">
        <f>IFERROR(__xludf.DUMMYFUNCTION("""COMPUTED_VALUE"""),"普通科")</f>
        <v>普通科</v>
      </c>
      <c r="F62" s="9" t="str">
        <f>IFERROR(__xludf.DUMMYFUNCTION("""COMPUTED_VALUE"""),"二年級")</f>
        <v>二年級</v>
      </c>
      <c r="G62" s="10" t="str">
        <f>IFERROR(__xludf.DUMMYFUNCTION("""COMPUTED_VALUE"""),"獎狀")</f>
        <v>獎狀</v>
      </c>
      <c r="H62" s="9"/>
    </row>
    <row r="63">
      <c r="A63" s="5" t="s">
        <v>9</v>
      </c>
      <c r="B63" s="9" t="str">
        <f>IFERROR(__xludf.DUMMYFUNCTION("""COMPUTED_VALUE"""),"曹O櫸")</f>
        <v>曹O櫸</v>
      </c>
      <c r="C63" s="9" t="str">
        <f>IFERROR(__xludf.DUMMYFUNCTION("""COMPUTED_VALUE"""),"st1*****8@ms.tsh.ttu.edu.tw")</f>
        <v>st1*****8@ms.tsh.ttu.edu.tw</v>
      </c>
      <c r="D63" s="9" t="str">
        <f>IFERROR(__xludf.DUMMYFUNCTION("""COMPUTED_VALUE"""),"臺北市私立大同高級中學")</f>
        <v>臺北市私立大同高級中學</v>
      </c>
      <c r="E63" s="9" t="str">
        <f>IFERROR(__xludf.DUMMYFUNCTION("""COMPUTED_VALUE"""),"普通科")</f>
        <v>普通科</v>
      </c>
      <c r="F63" s="9" t="str">
        <f>IFERROR(__xludf.DUMMYFUNCTION("""COMPUTED_VALUE"""),"二年級")</f>
        <v>二年級</v>
      </c>
      <c r="G63" s="10" t="str">
        <f>IFERROR(__xludf.DUMMYFUNCTION("""COMPUTED_VALUE"""),"獎狀")</f>
        <v>獎狀</v>
      </c>
      <c r="H63" s="9"/>
    </row>
    <row r="64">
      <c r="A64" s="5" t="s">
        <v>9</v>
      </c>
      <c r="B64" s="9" t="str">
        <f>IFERROR(__xludf.DUMMYFUNCTION("""COMPUTED_VALUE"""),"陳O齊")</f>
        <v>陳O齊</v>
      </c>
      <c r="C64" s="9" t="str">
        <f>IFERROR(__xludf.DUMMYFUNCTION("""COMPUTED_VALUE"""),"st1*****6@ms.tsh.ttu.edu.tw")</f>
        <v>st1*****6@ms.tsh.ttu.edu.tw</v>
      </c>
      <c r="D64" s="9" t="str">
        <f>IFERROR(__xludf.DUMMYFUNCTION("""COMPUTED_VALUE"""),"臺北市私立大同高級中學")</f>
        <v>臺北市私立大同高級中學</v>
      </c>
      <c r="E64" s="9" t="str">
        <f>IFERROR(__xludf.DUMMYFUNCTION("""COMPUTED_VALUE"""),"普通科")</f>
        <v>普通科</v>
      </c>
      <c r="F64" s="9" t="str">
        <f>IFERROR(__xludf.DUMMYFUNCTION("""COMPUTED_VALUE"""),"二年級")</f>
        <v>二年級</v>
      </c>
      <c r="G64" s="10" t="str">
        <f>IFERROR(__xludf.DUMMYFUNCTION("""COMPUTED_VALUE"""),"獎狀")</f>
        <v>獎狀</v>
      </c>
      <c r="H64" s="9"/>
    </row>
    <row r="65">
      <c r="A65" s="5" t="s">
        <v>9</v>
      </c>
      <c r="B65" s="9" t="str">
        <f>IFERROR(__xludf.DUMMYFUNCTION("""COMPUTED_VALUE"""),"江O蓁")</f>
        <v>江O蓁</v>
      </c>
      <c r="C65" s="9" t="str">
        <f>IFERROR(__xludf.DUMMYFUNCTION("""COMPUTED_VALUE"""),"com*****y@gmail.com")</f>
        <v>com*****y@gmail.com</v>
      </c>
      <c r="D65" s="9" t="str">
        <f>IFERROR(__xludf.DUMMYFUNCTION("""COMPUTED_VALUE"""),"臺北市私立大同高級中學")</f>
        <v>臺北市私立大同高級中學</v>
      </c>
      <c r="E65" s="9" t="str">
        <f>IFERROR(__xludf.DUMMYFUNCTION("""COMPUTED_VALUE"""),"普通科")</f>
        <v>普通科</v>
      </c>
      <c r="F65" s="9" t="str">
        <f>IFERROR(__xludf.DUMMYFUNCTION("""COMPUTED_VALUE"""),"二年級")</f>
        <v>二年級</v>
      </c>
      <c r="G65" s="10" t="str">
        <f>IFERROR(__xludf.DUMMYFUNCTION("""COMPUTED_VALUE"""),"○商品卡$500")</f>
        <v>○商品卡$500</v>
      </c>
      <c r="H65" s="9"/>
    </row>
    <row r="66">
      <c r="A66" s="5" t="s">
        <v>9</v>
      </c>
      <c r="B66" s="9" t="str">
        <f>IFERROR(__xludf.DUMMYFUNCTION("""COMPUTED_VALUE"""),"呂O穎")</f>
        <v>呂O穎</v>
      </c>
      <c r="C66" s="9" t="str">
        <f>IFERROR(__xludf.DUMMYFUNCTION("""COMPUTED_VALUE"""),"ivy*****1@gmail.com")</f>
        <v>ivy*****1@gmail.com</v>
      </c>
      <c r="D66" s="9" t="str">
        <f>IFERROR(__xludf.DUMMYFUNCTION("""COMPUTED_VALUE"""),"臺北市私立大同高級中學")</f>
        <v>臺北市私立大同高級中學</v>
      </c>
      <c r="E66" s="9" t="str">
        <f>IFERROR(__xludf.DUMMYFUNCTION("""COMPUTED_VALUE"""),"普通科")</f>
        <v>普通科</v>
      </c>
      <c r="F66" s="9" t="str">
        <f>IFERROR(__xludf.DUMMYFUNCTION("""COMPUTED_VALUE"""),"二年級")</f>
        <v>二年級</v>
      </c>
      <c r="G66" s="10" t="str">
        <f>IFERROR(__xludf.DUMMYFUNCTION("""COMPUTED_VALUE"""),"獎狀")</f>
        <v>獎狀</v>
      </c>
      <c r="H66" s="9"/>
    </row>
    <row r="67">
      <c r="A67" s="5" t="s">
        <v>9</v>
      </c>
      <c r="B67" s="9" t="str">
        <f>IFERROR(__xludf.DUMMYFUNCTION("""COMPUTED_VALUE"""),"薛O嘉")</f>
        <v>薛O嘉</v>
      </c>
      <c r="C67" s="9" t="str">
        <f>IFERROR(__xludf.DUMMYFUNCTION("""COMPUTED_VALUE"""),"st1*****5@ms.tsh.ttu.edu.tw")</f>
        <v>st1*****5@ms.tsh.ttu.edu.tw</v>
      </c>
      <c r="D67" s="9" t="str">
        <f>IFERROR(__xludf.DUMMYFUNCTION("""COMPUTED_VALUE"""),"臺北市私立大同高級中學")</f>
        <v>臺北市私立大同高級中學</v>
      </c>
      <c r="E67" s="9" t="str">
        <f>IFERROR(__xludf.DUMMYFUNCTION("""COMPUTED_VALUE"""),"普通科")</f>
        <v>普通科</v>
      </c>
      <c r="F67" s="9" t="str">
        <f>IFERROR(__xludf.DUMMYFUNCTION("""COMPUTED_VALUE"""),"二年級")</f>
        <v>二年級</v>
      </c>
      <c r="G67" s="10" t="str">
        <f>IFERROR(__xludf.DUMMYFUNCTION("""COMPUTED_VALUE"""),"獎狀")</f>
        <v>獎狀</v>
      </c>
      <c r="H67" s="9"/>
    </row>
    <row r="68">
      <c r="A68" s="5" t="s">
        <v>9</v>
      </c>
      <c r="B68" s="9" t="str">
        <f>IFERROR(__xludf.DUMMYFUNCTION("""COMPUTED_VALUE"""),"魏O晴")</f>
        <v>魏O晴</v>
      </c>
      <c r="C68" s="9" t="str">
        <f>IFERROR(__xludf.DUMMYFUNCTION("""COMPUTED_VALUE"""),"evi*****6126759@gmail.com")</f>
        <v>evi*****6126759@gmail.com</v>
      </c>
      <c r="D68" s="9" t="str">
        <f>IFERROR(__xludf.DUMMYFUNCTION("""COMPUTED_VALUE"""),"臺北市私立大同高級中學")</f>
        <v>臺北市私立大同高級中學</v>
      </c>
      <c r="E68" s="9" t="str">
        <f>IFERROR(__xludf.DUMMYFUNCTION("""COMPUTED_VALUE"""),"普通科")</f>
        <v>普通科</v>
      </c>
      <c r="F68" s="9" t="str">
        <f>IFERROR(__xludf.DUMMYFUNCTION("""COMPUTED_VALUE"""),"二年級")</f>
        <v>二年級</v>
      </c>
      <c r="G68" s="10" t="str">
        <f>IFERROR(__xludf.DUMMYFUNCTION("""COMPUTED_VALUE"""),"獎狀")</f>
        <v>獎狀</v>
      </c>
      <c r="H68" s="9"/>
    </row>
    <row r="69">
      <c r="A69" s="5" t="s">
        <v>9</v>
      </c>
      <c r="B69" s="9" t="str">
        <f>IFERROR(__xludf.DUMMYFUNCTION("""COMPUTED_VALUE"""),"張O民")</f>
        <v>張O民</v>
      </c>
      <c r="C69" s="9" t="str">
        <f>IFERROR(__xludf.DUMMYFUNCTION("""COMPUTED_VALUE"""),"st1*****7@ms.tsh.ttu.edu.tw")</f>
        <v>st1*****7@ms.tsh.ttu.edu.tw</v>
      </c>
      <c r="D69" s="9" t="str">
        <f>IFERROR(__xludf.DUMMYFUNCTION("""COMPUTED_VALUE"""),"臺北市私立大同高級中學")</f>
        <v>臺北市私立大同高級中學</v>
      </c>
      <c r="E69" s="9" t="str">
        <f>IFERROR(__xludf.DUMMYFUNCTION("""COMPUTED_VALUE"""),"普通科")</f>
        <v>普通科</v>
      </c>
      <c r="F69" s="9" t="str">
        <f>IFERROR(__xludf.DUMMYFUNCTION("""COMPUTED_VALUE"""),"二年級")</f>
        <v>二年級</v>
      </c>
      <c r="G69" s="10" t="str">
        <f>IFERROR(__xludf.DUMMYFUNCTION("""COMPUTED_VALUE"""),"獎狀")</f>
        <v>獎狀</v>
      </c>
      <c r="H69" s="9"/>
    </row>
    <row r="70">
      <c r="A70" s="5" t="s">
        <v>9</v>
      </c>
      <c r="B70" s="9" t="str">
        <f>IFERROR(__xludf.DUMMYFUNCTION("""COMPUTED_VALUE"""),"張O民")</f>
        <v>張O民</v>
      </c>
      <c r="C70" s="9" t="str">
        <f>IFERROR(__xludf.DUMMYFUNCTION("""COMPUTED_VALUE"""),"st1*****6@ms.tsh.ttu.edu.tw")</f>
        <v>st1*****6@ms.tsh.ttu.edu.tw</v>
      </c>
      <c r="D70" s="9" t="str">
        <f>IFERROR(__xludf.DUMMYFUNCTION("""COMPUTED_VALUE"""),"臺北市私立大同高級中學")</f>
        <v>臺北市私立大同高級中學</v>
      </c>
      <c r="E70" s="9" t="str">
        <f>IFERROR(__xludf.DUMMYFUNCTION("""COMPUTED_VALUE"""),"普通科")</f>
        <v>普通科</v>
      </c>
      <c r="F70" s="9" t="str">
        <f>IFERROR(__xludf.DUMMYFUNCTION("""COMPUTED_VALUE"""),"二年級")</f>
        <v>二年級</v>
      </c>
      <c r="G70" s="10" t="str">
        <f>IFERROR(__xludf.DUMMYFUNCTION("""COMPUTED_VALUE"""),"獎狀")</f>
        <v>獎狀</v>
      </c>
      <c r="H70" s="9"/>
    </row>
    <row r="71">
      <c r="A71" s="5" t="s">
        <v>9</v>
      </c>
      <c r="B71" s="9" t="str">
        <f>IFERROR(__xludf.DUMMYFUNCTION("""COMPUTED_VALUE"""),"王O邦")</f>
        <v>王O邦</v>
      </c>
      <c r="C71" s="9" t="str">
        <f>IFERROR(__xludf.DUMMYFUNCTION("""COMPUTED_VALUE"""),"jam*****g980703@gmail.com")</f>
        <v>jam*****g980703@gmail.com</v>
      </c>
      <c r="D71" s="9" t="str">
        <f>IFERROR(__xludf.DUMMYFUNCTION("""COMPUTED_VALUE"""),"臺北市私立大同高級中學")</f>
        <v>臺北市私立大同高級中學</v>
      </c>
      <c r="E71" s="9" t="str">
        <f>IFERROR(__xludf.DUMMYFUNCTION("""COMPUTED_VALUE"""),"普通科")</f>
        <v>普通科</v>
      </c>
      <c r="F71" s="9" t="str">
        <f>IFERROR(__xludf.DUMMYFUNCTION("""COMPUTED_VALUE"""),"二年級")</f>
        <v>二年級</v>
      </c>
      <c r="G71" s="10" t="str">
        <f>IFERROR(__xludf.DUMMYFUNCTION("""COMPUTED_VALUE"""),"獎狀")</f>
        <v>獎狀</v>
      </c>
      <c r="H71" s="9"/>
    </row>
    <row r="72">
      <c r="A72" s="5" t="s">
        <v>9</v>
      </c>
      <c r="B72" s="9" t="str">
        <f>IFERROR(__xludf.DUMMYFUNCTION("""COMPUTED_VALUE"""),"蕭O銘")</f>
        <v>蕭O銘</v>
      </c>
      <c r="C72" s="9" t="str">
        <f>IFERROR(__xludf.DUMMYFUNCTION("""COMPUTED_VALUE"""),"st1*****3@ms.tsh.ttu.edu.tw")</f>
        <v>st1*****3@ms.tsh.ttu.edu.tw</v>
      </c>
      <c r="D72" s="9" t="str">
        <f>IFERROR(__xludf.DUMMYFUNCTION("""COMPUTED_VALUE"""),"臺北市私立大同高級中學")</f>
        <v>臺北市私立大同高級中學</v>
      </c>
      <c r="E72" s="9" t="str">
        <f>IFERROR(__xludf.DUMMYFUNCTION("""COMPUTED_VALUE"""),"普通科")</f>
        <v>普通科</v>
      </c>
      <c r="F72" s="9" t="str">
        <f>IFERROR(__xludf.DUMMYFUNCTION("""COMPUTED_VALUE"""),"二年級")</f>
        <v>二年級</v>
      </c>
      <c r="G72" s="10" t="str">
        <f>IFERROR(__xludf.DUMMYFUNCTION("""COMPUTED_VALUE"""),"★商品卡$1000")</f>
        <v>★商品卡$1000</v>
      </c>
      <c r="H72" s="9"/>
    </row>
    <row r="73">
      <c r="A73" s="5" t="s">
        <v>9</v>
      </c>
      <c r="B73" s="9" t="str">
        <f>IFERROR(__xludf.DUMMYFUNCTION("""COMPUTED_VALUE"""),"林O馨")</f>
        <v>林O馨</v>
      </c>
      <c r="C73" s="9" t="str">
        <f>IFERROR(__xludf.DUMMYFUNCTION("""COMPUTED_VALUE"""),"st1*****6@ms.tsh.ttu.edu.tw")</f>
        <v>st1*****6@ms.tsh.ttu.edu.tw</v>
      </c>
      <c r="D73" s="9" t="str">
        <f>IFERROR(__xludf.DUMMYFUNCTION("""COMPUTED_VALUE"""),"臺北市私立大同高級中學")</f>
        <v>臺北市私立大同高級中學</v>
      </c>
      <c r="E73" s="9" t="str">
        <f>IFERROR(__xludf.DUMMYFUNCTION("""COMPUTED_VALUE"""),"普通科")</f>
        <v>普通科</v>
      </c>
      <c r="F73" s="9" t="str">
        <f>IFERROR(__xludf.DUMMYFUNCTION("""COMPUTED_VALUE"""),"二年級")</f>
        <v>二年級</v>
      </c>
      <c r="G73" s="10" t="str">
        <f>IFERROR(__xludf.DUMMYFUNCTION("""COMPUTED_VALUE"""),"■商品卡$200")</f>
        <v>■商品卡$200</v>
      </c>
      <c r="H73" s="9"/>
    </row>
    <row r="74">
      <c r="A74" s="5" t="s">
        <v>9</v>
      </c>
      <c r="B74" s="9" t="str">
        <f>IFERROR(__xludf.DUMMYFUNCTION("""COMPUTED_VALUE"""),"柴O婕")</f>
        <v>柴O婕</v>
      </c>
      <c r="C74" s="9" t="str">
        <f>IFERROR(__xludf.DUMMYFUNCTION("""COMPUTED_VALUE"""),"aaa*****08726@gmail.com")</f>
        <v>aaa*****08726@gmail.com</v>
      </c>
      <c r="D74" s="9" t="str">
        <f>IFERROR(__xludf.DUMMYFUNCTION("""COMPUTED_VALUE"""),"臺北市私立大同高級中學")</f>
        <v>臺北市私立大同高級中學</v>
      </c>
      <c r="E74" s="9" t="str">
        <f>IFERROR(__xludf.DUMMYFUNCTION("""COMPUTED_VALUE"""),"普通科")</f>
        <v>普通科</v>
      </c>
      <c r="F74" s="9" t="str">
        <f>IFERROR(__xludf.DUMMYFUNCTION("""COMPUTED_VALUE"""),"二年級")</f>
        <v>二年級</v>
      </c>
      <c r="G74" s="10" t="str">
        <f>IFERROR(__xludf.DUMMYFUNCTION("""COMPUTED_VALUE"""),"獎狀")</f>
        <v>獎狀</v>
      </c>
      <c r="H74" s="9"/>
    </row>
    <row r="75">
      <c r="A75" s="5" t="s">
        <v>9</v>
      </c>
      <c r="B75" s="9" t="str">
        <f>IFERROR(__xludf.DUMMYFUNCTION("""COMPUTED_VALUE"""),"陳O希")</f>
        <v>陳O希</v>
      </c>
      <c r="C75" s="9" t="str">
        <f>IFERROR(__xludf.DUMMYFUNCTION("""COMPUTED_VALUE"""),"st1*****1@ms.tsh.ttu.edu.tw")</f>
        <v>st1*****1@ms.tsh.ttu.edu.tw</v>
      </c>
      <c r="D75" s="9" t="str">
        <f>IFERROR(__xludf.DUMMYFUNCTION("""COMPUTED_VALUE"""),"臺北市私立大同高級中學")</f>
        <v>臺北市私立大同高級中學</v>
      </c>
      <c r="E75" s="9" t="str">
        <f>IFERROR(__xludf.DUMMYFUNCTION("""COMPUTED_VALUE"""),"普通科")</f>
        <v>普通科</v>
      </c>
      <c r="F75" s="9" t="str">
        <f>IFERROR(__xludf.DUMMYFUNCTION("""COMPUTED_VALUE"""),"二年級")</f>
        <v>二年級</v>
      </c>
      <c r="G75" s="10" t="str">
        <f>IFERROR(__xludf.DUMMYFUNCTION("""COMPUTED_VALUE"""),"★商品卡$1000")</f>
        <v>★商品卡$1000</v>
      </c>
      <c r="H75" s="9"/>
    </row>
    <row r="76">
      <c r="A76" s="5" t="s">
        <v>9</v>
      </c>
      <c r="B76" s="9" t="str">
        <f>IFERROR(__xludf.DUMMYFUNCTION("""COMPUTED_VALUE"""),"林O瑤")</f>
        <v>林O瑤</v>
      </c>
      <c r="C76" s="9" t="str">
        <f>IFERROR(__xludf.DUMMYFUNCTION("""COMPUTED_VALUE"""),"st1*****6@ms.tsh.ttu.edu.tw")</f>
        <v>st1*****6@ms.tsh.ttu.edu.tw</v>
      </c>
      <c r="D76" s="9" t="str">
        <f>IFERROR(__xludf.DUMMYFUNCTION("""COMPUTED_VALUE"""),"臺北市私立大同高級中學")</f>
        <v>臺北市私立大同高級中學</v>
      </c>
      <c r="E76" s="9" t="str">
        <f>IFERROR(__xludf.DUMMYFUNCTION("""COMPUTED_VALUE"""),"普通科")</f>
        <v>普通科</v>
      </c>
      <c r="F76" s="9" t="str">
        <f>IFERROR(__xludf.DUMMYFUNCTION("""COMPUTED_VALUE"""),"二年級")</f>
        <v>二年級</v>
      </c>
      <c r="G76" s="10" t="str">
        <f>IFERROR(__xludf.DUMMYFUNCTION("""COMPUTED_VALUE"""),"■商品卡$200")</f>
        <v>■商品卡$200</v>
      </c>
      <c r="H76" s="9"/>
    </row>
    <row r="77">
      <c r="A77" s="5" t="s">
        <v>9</v>
      </c>
      <c r="B77" s="9" t="str">
        <f>IFERROR(__xludf.DUMMYFUNCTION("""COMPUTED_VALUE"""),"陳O毅")</f>
        <v>陳O毅</v>
      </c>
      <c r="C77" s="9" t="str">
        <f>IFERROR(__xludf.DUMMYFUNCTION("""COMPUTED_VALUE"""),"xni*****1@gmail.com")</f>
        <v>xni*****1@gmail.com</v>
      </c>
      <c r="D77" s="9" t="str">
        <f>IFERROR(__xludf.DUMMYFUNCTION("""COMPUTED_VALUE"""),"臺北市私立大同高級中學")</f>
        <v>臺北市私立大同高級中學</v>
      </c>
      <c r="E77" s="9" t="str">
        <f>IFERROR(__xludf.DUMMYFUNCTION("""COMPUTED_VALUE"""),"普通科")</f>
        <v>普通科</v>
      </c>
      <c r="F77" s="9" t="str">
        <f>IFERROR(__xludf.DUMMYFUNCTION("""COMPUTED_VALUE"""),"二年級")</f>
        <v>二年級</v>
      </c>
      <c r="G77" s="10" t="str">
        <f>IFERROR(__xludf.DUMMYFUNCTION("""COMPUTED_VALUE"""),"獎狀")</f>
        <v>獎狀</v>
      </c>
      <c r="H77" s="9"/>
    </row>
    <row r="78">
      <c r="A78" s="5" t="s">
        <v>9</v>
      </c>
      <c r="B78" s="9" t="str">
        <f>IFERROR(__xludf.DUMMYFUNCTION("""COMPUTED_VALUE"""),"孫O凱")</f>
        <v>孫O凱</v>
      </c>
      <c r="C78" s="9" t="str">
        <f>IFERROR(__xludf.DUMMYFUNCTION("""COMPUTED_VALUE"""),"st1*****5@ms.tsh.ttu.edu.tw")</f>
        <v>st1*****5@ms.tsh.ttu.edu.tw</v>
      </c>
      <c r="D78" s="9" t="str">
        <f>IFERROR(__xludf.DUMMYFUNCTION("""COMPUTED_VALUE"""),"臺北市私立大同高級中學")</f>
        <v>臺北市私立大同高級中學</v>
      </c>
      <c r="E78" s="9" t="str">
        <f>IFERROR(__xludf.DUMMYFUNCTION("""COMPUTED_VALUE"""),"普通科")</f>
        <v>普通科</v>
      </c>
      <c r="F78" s="9" t="str">
        <f>IFERROR(__xludf.DUMMYFUNCTION("""COMPUTED_VALUE"""),"二年級")</f>
        <v>二年級</v>
      </c>
      <c r="G78" s="10" t="str">
        <f>IFERROR(__xludf.DUMMYFUNCTION("""COMPUTED_VALUE"""),"獎狀")</f>
        <v>獎狀</v>
      </c>
      <c r="H78" s="9"/>
    </row>
    <row r="79">
      <c r="A79" s="5" t="s">
        <v>9</v>
      </c>
      <c r="B79" s="9" t="str">
        <f>IFERROR(__xludf.DUMMYFUNCTION("""COMPUTED_VALUE"""),"劉O心")</f>
        <v>劉O心</v>
      </c>
      <c r="C79" s="9" t="str">
        <f>IFERROR(__xludf.DUMMYFUNCTION("""COMPUTED_VALUE"""),"st1*****4@ms.tsh.ttu.edu.tw")</f>
        <v>st1*****4@ms.tsh.ttu.edu.tw</v>
      </c>
      <c r="D79" s="9" t="str">
        <f>IFERROR(__xludf.DUMMYFUNCTION("""COMPUTED_VALUE"""),"臺北市私立大同高級中學")</f>
        <v>臺北市私立大同高級中學</v>
      </c>
      <c r="E79" s="9" t="str">
        <f>IFERROR(__xludf.DUMMYFUNCTION("""COMPUTED_VALUE"""),"普通科")</f>
        <v>普通科</v>
      </c>
      <c r="F79" s="9" t="str">
        <f>IFERROR(__xludf.DUMMYFUNCTION("""COMPUTED_VALUE"""),"二年級")</f>
        <v>二年級</v>
      </c>
      <c r="G79" s="10" t="str">
        <f>IFERROR(__xludf.DUMMYFUNCTION("""COMPUTED_VALUE"""),"獎狀")</f>
        <v>獎狀</v>
      </c>
      <c r="H79" s="9"/>
    </row>
    <row r="80">
      <c r="A80" s="5" t="s">
        <v>9</v>
      </c>
      <c r="B80" s="9" t="str">
        <f>IFERROR(__xludf.DUMMYFUNCTION("""COMPUTED_VALUE"""),"裘O容")</f>
        <v>裘O容</v>
      </c>
      <c r="C80" s="9" t="str">
        <f>IFERROR(__xludf.DUMMYFUNCTION("""COMPUTED_VALUE"""),"st1*****9@ms.tsh.ttu.edu.tw")</f>
        <v>st1*****9@ms.tsh.ttu.edu.tw</v>
      </c>
      <c r="D80" s="9" t="str">
        <f>IFERROR(__xludf.DUMMYFUNCTION("""COMPUTED_VALUE"""),"臺北市私立大同高級中學")</f>
        <v>臺北市私立大同高級中學</v>
      </c>
      <c r="E80" s="9" t="str">
        <f>IFERROR(__xludf.DUMMYFUNCTION("""COMPUTED_VALUE"""),"普通科")</f>
        <v>普通科</v>
      </c>
      <c r="F80" s="9" t="str">
        <f>IFERROR(__xludf.DUMMYFUNCTION("""COMPUTED_VALUE"""),"二年級")</f>
        <v>二年級</v>
      </c>
      <c r="G80" s="10" t="str">
        <f>IFERROR(__xludf.DUMMYFUNCTION("""COMPUTED_VALUE"""),"獎狀")</f>
        <v>獎狀</v>
      </c>
      <c r="H80" s="9"/>
    </row>
    <row r="81">
      <c r="A81" s="5" t="s">
        <v>9</v>
      </c>
      <c r="B81" s="9" t="str">
        <f>IFERROR(__xludf.DUMMYFUNCTION("""COMPUTED_VALUE"""),"蔡O威")</f>
        <v>蔡O威</v>
      </c>
      <c r="C81" s="9" t="str">
        <f>IFERROR(__xludf.DUMMYFUNCTION("""COMPUTED_VALUE"""),"st1*****5@ms.tsh.ttu.edu.tw")</f>
        <v>st1*****5@ms.tsh.ttu.edu.tw</v>
      </c>
      <c r="D81" s="9" t="str">
        <f>IFERROR(__xludf.DUMMYFUNCTION("""COMPUTED_VALUE"""),"臺北市私立大同高級中學")</f>
        <v>臺北市私立大同高級中學</v>
      </c>
      <c r="E81" s="9" t="str">
        <f>IFERROR(__xludf.DUMMYFUNCTION("""COMPUTED_VALUE"""),"普通科")</f>
        <v>普通科</v>
      </c>
      <c r="F81" s="9" t="str">
        <f>IFERROR(__xludf.DUMMYFUNCTION("""COMPUTED_VALUE"""),"二年級")</f>
        <v>二年級</v>
      </c>
      <c r="G81" s="10" t="str">
        <f>IFERROR(__xludf.DUMMYFUNCTION("""COMPUTED_VALUE"""),"獎狀")</f>
        <v>獎狀</v>
      </c>
      <c r="H81" s="11"/>
    </row>
    <row r="82">
      <c r="A82" s="5" t="s">
        <v>9</v>
      </c>
      <c r="B82" s="9" t="str">
        <f>IFERROR(__xludf.DUMMYFUNCTION("""COMPUTED_VALUE"""),"王O婷")</f>
        <v>王O婷</v>
      </c>
      <c r="C82" s="9" t="str">
        <f>IFERROR(__xludf.DUMMYFUNCTION("""COMPUTED_VALUE"""),"st1*****1@ms.tsh.ttu.edu.tw")</f>
        <v>st1*****1@ms.tsh.ttu.edu.tw</v>
      </c>
      <c r="D82" s="9" t="str">
        <f>IFERROR(__xludf.DUMMYFUNCTION("""COMPUTED_VALUE"""),"臺北市私立大同高級中學")</f>
        <v>臺北市私立大同高級中學</v>
      </c>
      <c r="E82" s="9" t="str">
        <f>IFERROR(__xludf.DUMMYFUNCTION("""COMPUTED_VALUE"""),"普通科")</f>
        <v>普通科</v>
      </c>
      <c r="F82" s="9" t="str">
        <f>IFERROR(__xludf.DUMMYFUNCTION("""COMPUTED_VALUE"""),"二年級")</f>
        <v>二年級</v>
      </c>
      <c r="G82" s="10" t="str">
        <f>IFERROR(__xludf.DUMMYFUNCTION("""COMPUTED_VALUE"""),"獎狀")</f>
        <v>獎狀</v>
      </c>
      <c r="H82" s="11"/>
    </row>
    <row r="83">
      <c r="A83" s="5" t="s">
        <v>9</v>
      </c>
      <c r="B83" s="9" t="str">
        <f>IFERROR(__xludf.DUMMYFUNCTION("""COMPUTED_VALUE"""),"林O妤")</f>
        <v>林O妤</v>
      </c>
      <c r="C83" s="9" t="str">
        <f>IFERROR(__xludf.DUMMYFUNCTION("""COMPUTED_VALUE"""),"st1*****9@ms.tsh.ttu.edu.tw")</f>
        <v>st1*****9@ms.tsh.ttu.edu.tw</v>
      </c>
      <c r="D83" s="9" t="str">
        <f>IFERROR(__xludf.DUMMYFUNCTION("""COMPUTED_VALUE"""),"臺北市私立大同高級中學")</f>
        <v>臺北市私立大同高級中學</v>
      </c>
      <c r="E83" s="9" t="str">
        <f>IFERROR(__xludf.DUMMYFUNCTION("""COMPUTED_VALUE"""),"普通科")</f>
        <v>普通科</v>
      </c>
      <c r="F83" s="9" t="str">
        <f>IFERROR(__xludf.DUMMYFUNCTION("""COMPUTED_VALUE"""),"二年級")</f>
        <v>二年級</v>
      </c>
      <c r="G83" s="10" t="str">
        <f>IFERROR(__xludf.DUMMYFUNCTION("""COMPUTED_VALUE"""),"獎狀")</f>
        <v>獎狀</v>
      </c>
      <c r="H83" s="11"/>
    </row>
    <row r="84">
      <c r="A84" s="5" t="s">
        <v>9</v>
      </c>
      <c r="B84" s="9" t="str">
        <f>IFERROR(__xludf.DUMMYFUNCTION("""COMPUTED_VALUE"""),"游O涵")</f>
        <v>游O涵</v>
      </c>
      <c r="C84" s="9" t="str">
        <f>IFERROR(__xludf.DUMMYFUNCTION("""COMPUTED_VALUE"""),"st1*****0@ms.tsh.ttu.edu.tw")</f>
        <v>st1*****0@ms.tsh.ttu.edu.tw</v>
      </c>
      <c r="D84" s="9" t="str">
        <f>IFERROR(__xludf.DUMMYFUNCTION("""COMPUTED_VALUE"""),"臺北市私立大同高級中學")</f>
        <v>臺北市私立大同高級中學</v>
      </c>
      <c r="E84" s="9" t="str">
        <f>IFERROR(__xludf.DUMMYFUNCTION("""COMPUTED_VALUE"""),"普通科")</f>
        <v>普通科</v>
      </c>
      <c r="F84" s="9" t="str">
        <f>IFERROR(__xludf.DUMMYFUNCTION("""COMPUTED_VALUE"""),"二年級")</f>
        <v>二年級</v>
      </c>
      <c r="G84" s="10" t="str">
        <f>IFERROR(__xludf.DUMMYFUNCTION("""COMPUTED_VALUE"""),"○商品卡$500")</f>
        <v>○商品卡$500</v>
      </c>
      <c r="H84" s="11"/>
    </row>
    <row r="85">
      <c r="A85" s="5" t="s">
        <v>9</v>
      </c>
      <c r="B85" s="9" t="str">
        <f>IFERROR(__xludf.DUMMYFUNCTION("""COMPUTED_VALUE"""),"梁O語")</f>
        <v>梁O語</v>
      </c>
      <c r="C85" s="9" t="str">
        <f>IFERROR(__xludf.DUMMYFUNCTION("""COMPUTED_VALUE"""),"st1*****5@ms.tsh.ttu.edu.tw")</f>
        <v>st1*****5@ms.tsh.ttu.edu.tw</v>
      </c>
      <c r="D85" s="9" t="str">
        <f>IFERROR(__xludf.DUMMYFUNCTION("""COMPUTED_VALUE"""),"臺北市私立大同高級中學")</f>
        <v>臺北市私立大同高級中學</v>
      </c>
      <c r="E85" s="9" t="str">
        <f>IFERROR(__xludf.DUMMYFUNCTION("""COMPUTED_VALUE"""),"普通科")</f>
        <v>普通科</v>
      </c>
      <c r="F85" s="9" t="str">
        <f>IFERROR(__xludf.DUMMYFUNCTION("""COMPUTED_VALUE"""),"二年級")</f>
        <v>二年級</v>
      </c>
      <c r="G85" s="10" t="str">
        <f>IFERROR(__xludf.DUMMYFUNCTION("""COMPUTED_VALUE"""),"獎狀")</f>
        <v>獎狀</v>
      </c>
      <c r="H85" s="11"/>
    </row>
    <row r="86">
      <c r="A86" s="5" t="s">
        <v>9</v>
      </c>
      <c r="B86" s="9" t="str">
        <f>IFERROR(__xludf.DUMMYFUNCTION("""COMPUTED_VALUE"""),"賴O蓁")</f>
        <v>賴O蓁</v>
      </c>
      <c r="C86" s="9" t="str">
        <f>IFERROR(__xludf.DUMMYFUNCTION("""COMPUTED_VALUE"""),"st1*****4@ms.tsh.ttu.edu.tw")</f>
        <v>st1*****4@ms.tsh.ttu.edu.tw</v>
      </c>
      <c r="D86" s="9" t="str">
        <f>IFERROR(__xludf.DUMMYFUNCTION("""COMPUTED_VALUE"""),"臺北市私立大同高級中學")</f>
        <v>臺北市私立大同高級中學</v>
      </c>
      <c r="E86" s="9" t="str">
        <f>IFERROR(__xludf.DUMMYFUNCTION("""COMPUTED_VALUE"""),"普通科")</f>
        <v>普通科</v>
      </c>
      <c r="F86" s="9" t="str">
        <f>IFERROR(__xludf.DUMMYFUNCTION("""COMPUTED_VALUE"""),"二年級")</f>
        <v>二年級</v>
      </c>
      <c r="G86" s="10" t="str">
        <f>IFERROR(__xludf.DUMMYFUNCTION("""COMPUTED_VALUE"""),"獎狀")</f>
        <v>獎狀</v>
      </c>
      <c r="H86" s="11"/>
    </row>
    <row r="87">
      <c r="A87" s="5" t="s">
        <v>9</v>
      </c>
      <c r="B87" s="9" t="str">
        <f>IFERROR(__xludf.DUMMYFUNCTION("""COMPUTED_VALUE"""),"陳O璇")</f>
        <v>陳O璇</v>
      </c>
      <c r="C87" s="9" t="str">
        <f>IFERROR(__xludf.DUMMYFUNCTION("""COMPUTED_VALUE"""),"st1*****3@ms.tsh.ttu.edu.tw")</f>
        <v>st1*****3@ms.tsh.ttu.edu.tw</v>
      </c>
      <c r="D87" s="9" t="str">
        <f>IFERROR(__xludf.DUMMYFUNCTION("""COMPUTED_VALUE"""),"臺北市私立大同高級中學")</f>
        <v>臺北市私立大同高級中學</v>
      </c>
      <c r="E87" s="9" t="str">
        <f>IFERROR(__xludf.DUMMYFUNCTION("""COMPUTED_VALUE"""),"普通科")</f>
        <v>普通科</v>
      </c>
      <c r="F87" s="9" t="str">
        <f>IFERROR(__xludf.DUMMYFUNCTION("""COMPUTED_VALUE"""),"二年級")</f>
        <v>二年級</v>
      </c>
      <c r="G87" s="10" t="str">
        <f>IFERROR(__xludf.DUMMYFUNCTION("""COMPUTED_VALUE"""),"獎狀")</f>
        <v>獎狀</v>
      </c>
      <c r="H87" s="11"/>
    </row>
    <row r="88">
      <c r="A88" s="5" t="s">
        <v>9</v>
      </c>
      <c r="B88" s="9" t="str">
        <f>IFERROR(__xludf.DUMMYFUNCTION("""COMPUTED_VALUE"""),"楊O茜")</f>
        <v>楊O茜</v>
      </c>
      <c r="C88" s="9" t="str">
        <f>IFERROR(__xludf.DUMMYFUNCTION("""COMPUTED_VALUE"""),"st1*****1@ms.tsh.ttu.edu.tw")</f>
        <v>st1*****1@ms.tsh.ttu.edu.tw</v>
      </c>
      <c r="D88" s="9" t="str">
        <f>IFERROR(__xludf.DUMMYFUNCTION("""COMPUTED_VALUE"""),"臺北市私立大同高級中學")</f>
        <v>臺北市私立大同高級中學</v>
      </c>
      <c r="E88" s="9" t="str">
        <f>IFERROR(__xludf.DUMMYFUNCTION("""COMPUTED_VALUE"""),"普通科")</f>
        <v>普通科</v>
      </c>
      <c r="F88" s="9" t="str">
        <f>IFERROR(__xludf.DUMMYFUNCTION("""COMPUTED_VALUE"""),"二年級")</f>
        <v>二年級</v>
      </c>
      <c r="G88" s="10" t="str">
        <f>IFERROR(__xludf.DUMMYFUNCTION("""COMPUTED_VALUE"""),"■商品卡$200")</f>
        <v>■商品卡$200</v>
      </c>
      <c r="H88" s="11"/>
    </row>
    <row r="89">
      <c r="A89" s="5" t="s">
        <v>9</v>
      </c>
      <c r="B89" s="9" t="str">
        <f>IFERROR(__xludf.DUMMYFUNCTION("""COMPUTED_VALUE"""),"張O芸")</f>
        <v>張O芸</v>
      </c>
      <c r="C89" s="9" t="str">
        <f>IFERROR(__xludf.DUMMYFUNCTION("""COMPUTED_VALUE"""),"st1*****0@ms.tsh.ttu.edu.tw")</f>
        <v>st1*****0@ms.tsh.ttu.edu.tw</v>
      </c>
      <c r="D89" s="9" t="str">
        <f>IFERROR(__xludf.DUMMYFUNCTION("""COMPUTED_VALUE"""),"臺北市私立大同高級中學")</f>
        <v>臺北市私立大同高級中學</v>
      </c>
      <c r="E89" s="9" t="str">
        <f>IFERROR(__xludf.DUMMYFUNCTION("""COMPUTED_VALUE"""),"普通科")</f>
        <v>普通科</v>
      </c>
      <c r="F89" s="9" t="str">
        <f>IFERROR(__xludf.DUMMYFUNCTION("""COMPUTED_VALUE"""),"三年級")</f>
        <v>三年級</v>
      </c>
      <c r="G89" s="10" t="str">
        <f>IFERROR(__xludf.DUMMYFUNCTION("""COMPUTED_VALUE"""),"獎狀")</f>
        <v>獎狀</v>
      </c>
      <c r="H89" s="9"/>
    </row>
    <row r="90">
      <c r="A90" s="5" t="s">
        <v>9</v>
      </c>
      <c r="B90" s="9" t="str">
        <f>IFERROR(__xludf.DUMMYFUNCTION("""COMPUTED_VALUE"""),"蔡O中")</f>
        <v>蔡O中</v>
      </c>
      <c r="C90" s="9" t="str">
        <f>IFERROR(__xludf.DUMMYFUNCTION("""COMPUTED_VALUE"""),"st1*****4@ms.tsh.ttu.edu.tw")</f>
        <v>st1*****4@ms.tsh.ttu.edu.tw</v>
      </c>
      <c r="D90" s="9" t="str">
        <f>IFERROR(__xludf.DUMMYFUNCTION("""COMPUTED_VALUE"""),"臺北市私立大同高級中學")</f>
        <v>臺北市私立大同高級中學</v>
      </c>
      <c r="E90" s="9" t="str">
        <f>IFERROR(__xludf.DUMMYFUNCTION("""COMPUTED_VALUE"""),"普通科")</f>
        <v>普通科</v>
      </c>
      <c r="F90" s="9" t="str">
        <f>IFERROR(__xludf.DUMMYFUNCTION("""COMPUTED_VALUE"""),"三年級")</f>
        <v>三年級</v>
      </c>
      <c r="G90" s="10" t="str">
        <f>IFERROR(__xludf.DUMMYFUNCTION("""COMPUTED_VALUE"""),"獎狀")</f>
        <v>獎狀</v>
      </c>
      <c r="H90" s="9"/>
    </row>
    <row r="91">
      <c r="A91" s="5" t="s">
        <v>9</v>
      </c>
      <c r="B91" s="9" t="str">
        <f>IFERROR(__xludf.DUMMYFUNCTION("""COMPUTED_VALUE"""),"曾O凱")</f>
        <v>曾O凱</v>
      </c>
      <c r="C91" s="9" t="str">
        <f>IFERROR(__xludf.DUMMYFUNCTION("""COMPUTED_VALUE"""),"st1*****6@ms.tsh.ttu.edu.tw")</f>
        <v>st1*****6@ms.tsh.ttu.edu.tw</v>
      </c>
      <c r="D91" s="9" t="str">
        <f>IFERROR(__xludf.DUMMYFUNCTION("""COMPUTED_VALUE"""),"臺北市私立大同高級中學")</f>
        <v>臺北市私立大同高級中學</v>
      </c>
      <c r="E91" s="9" t="str">
        <f>IFERROR(__xludf.DUMMYFUNCTION("""COMPUTED_VALUE"""),"普通科")</f>
        <v>普通科</v>
      </c>
      <c r="F91" s="9" t="str">
        <f>IFERROR(__xludf.DUMMYFUNCTION("""COMPUTED_VALUE"""),"三年級")</f>
        <v>三年級</v>
      </c>
      <c r="G91" s="10" t="str">
        <f>IFERROR(__xludf.DUMMYFUNCTION("""COMPUTED_VALUE"""),"獎狀")</f>
        <v>獎狀</v>
      </c>
      <c r="H91" s="9"/>
    </row>
    <row r="92">
      <c r="A92" s="5" t="s">
        <v>9</v>
      </c>
      <c r="B92" s="9" t="str">
        <f>IFERROR(__xludf.DUMMYFUNCTION("""COMPUTED_VALUE"""),"王O婷")</f>
        <v>王O婷</v>
      </c>
      <c r="C92" s="9" t="str">
        <f>IFERROR(__xludf.DUMMYFUNCTION("""COMPUTED_VALUE"""),"st1*****2@ms.tsh.ttu.edu.tw")</f>
        <v>st1*****2@ms.tsh.ttu.edu.tw</v>
      </c>
      <c r="D92" s="9" t="str">
        <f>IFERROR(__xludf.DUMMYFUNCTION("""COMPUTED_VALUE"""),"臺北市私立大同高級中學")</f>
        <v>臺北市私立大同高級中學</v>
      </c>
      <c r="E92" s="9" t="str">
        <f>IFERROR(__xludf.DUMMYFUNCTION("""COMPUTED_VALUE"""),"普通科")</f>
        <v>普通科</v>
      </c>
      <c r="F92" s="9" t="str">
        <f>IFERROR(__xludf.DUMMYFUNCTION("""COMPUTED_VALUE"""),"三年級")</f>
        <v>三年級</v>
      </c>
      <c r="G92" s="10" t="str">
        <f>IFERROR(__xludf.DUMMYFUNCTION("""COMPUTED_VALUE"""),"○商品卡$500")</f>
        <v>○商品卡$500</v>
      </c>
      <c r="H92" s="9"/>
    </row>
    <row r="93">
      <c r="A93" s="5" t="s">
        <v>9</v>
      </c>
      <c r="B93" s="9" t="str">
        <f>IFERROR(__xludf.DUMMYFUNCTION("""COMPUTED_VALUE"""),"蔡O翊")</f>
        <v>蔡O翊</v>
      </c>
      <c r="C93" s="9" t="str">
        <f>IFERROR(__xludf.DUMMYFUNCTION("""COMPUTED_VALUE"""),"st1*****5@ms.tsh.ttu.edu.tw")</f>
        <v>st1*****5@ms.tsh.ttu.edu.tw</v>
      </c>
      <c r="D93" s="9" t="str">
        <f>IFERROR(__xludf.DUMMYFUNCTION("""COMPUTED_VALUE"""),"臺北市私立大同高級中學")</f>
        <v>臺北市私立大同高級中學</v>
      </c>
      <c r="E93" s="9" t="str">
        <f>IFERROR(__xludf.DUMMYFUNCTION("""COMPUTED_VALUE"""),"普通科")</f>
        <v>普通科</v>
      </c>
      <c r="F93" s="9" t="str">
        <f>IFERROR(__xludf.DUMMYFUNCTION("""COMPUTED_VALUE"""),"三年級")</f>
        <v>三年級</v>
      </c>
      <c r="G93" s="10" t="str">
        <f>IFERROR(__xludf.DUMMYFUNCTION("""COMPUTED_VALUE"""),"獎狀")</f>
        <v>獎狀</v>
      </c>
      <c r="H93" s="9"/>
    </row>
    <row r="94">
      <c r="A94" s="5" t="s">
        <v>9</v>
      </c>
      <c r="B94" s="9" t="str">
        <f>IFERROR(__xludf.DUMMYFUNCTION("""COMPUTED_VALUE"""),"曾O哲")</f>
        <v>曾O哲</v>
      </c>
      <c r="C94" s="9" t="str">
        <f>IFERROR(__xludf.DUMMYFUNCTION("""COMPUTED_VALUE"""),"st1*****5@ms.tsh.ttu.edu.tw")</f>
        <v>st1*****5@ms.tsh.ttu.edu.tw</v>
      </c>
      <c r="D94" s="9" t="str">
        <f>IFERROR(__xludf.DUMMYFUNCTION("""COMPUTED_VALUE"""),"臺北市私立大同高級中學")</f>
        <v>臺北市私立大同高級中學</v>
      </c>
      <c r="E94" s="9" t="str">
        <f>IFERROR(__xludf.DUMMYFUNCTION("""COMPUTED_VALUE"""),"普通科")</f>
        <v>普通科</v>
      </c>
      <c r="F94" s="9" t="str">
        <f>IFERROR(__xludf.DUMMYFUNCTION("""COMPUTED_VALUE"""),"三年級")</f>
        <v>三年級</v>
      </c>
      <c r="G94" s="10" t="str">
        <f>IFERROR(__xludf.DUMMYFUNCTION("""COMPUTED_VALUE"""),"獎狀")</f>
        <v>獎狀</v>
      </c>
      <c r="H94" s="9"/>
    </row>
    <row r="95">
      <c r="A95" s="5" t="s">
        <v>9</v>
      </c>
      <c r="B95" s="9" t="str">
        <f>IFERROR(__xludf.DUMMYFUNCTION("""COMPUTED_VALUE"""),"林O喬")</f>
        <v>林O喬</v>
      </c>
      <c r="C95" s="9" t="str">
        <f>IFERROR(__xludf.DUMMYFUNCTION("""COMPUTED_VALUE"""),"st1*****4@ms.tsh.ttu.edu.tw")</f>
        <v>st1*****4@ms.tsh.ttu.edu.tw</v>
      </c>
      <c r="D95" s="9" t="str">
        <f>IFERROR(__xludf.DUMMYFUNCTION("""COMPUTED_VALUE"""),"臺北市私立大同高級中學")</f>
        <v>臺北市私立大同高級中學</v>
      </c>
      <c r="E95" s="9" t="str">
        <f>IFERROR(__xludf.DUMMYFUNCTION("""COMPUTED_VALUE"""),"普通科")</f>
        <v>普通科</v>
      </c>
      <c r="F95" s="9" t="str">
        <f>IFERROR(__xludf.DUMMYFUNCTION("""COMPUTED_VALUE"""),"三年級")</f>
        <v>三年級</v>
      </c>
      <c r="G95" s="10" t="str">
        <f>IFERROR(__xludf.DUMMYFUNCTION("""COMPUTED_VALUE"""),"獎狀")</f>
        <v>獎狀</v>
      </c>
      <c r="H95" s="9"/>
    </row>
    <row r="96">
      <c r="A96" s="5" t="s">
        <v>9</v>
      </c>
      <c r="B96" s="9" t="str">
        <f>IFERROR(__xludf.DUMMYFUNCTION("""COMPUTED_VALUE"""),"柯O岑")</f>
        <v>柯O岑</v>
      </c>
      <c r="C96" s="9" t="str">
        <f>IFERROR(__xludf.DUMMYFUNCTION("""COMPUTED_VALUE"""),"st1*****9@ms.tsh.ttu.edu.tw")</f>
        <v>st1*****9@ms.tsh.ttu.edu.tw</v>
      </c>
      <c r="D96" s="9" t="str">
        <f>IFERROR(__xludf.DUMMYFUNCTION("""COMPUTED_VALUE"""),"臺北市私立大同高級中學")</f>
        <v>臺北市私立大同高級中學</v>
      </c>
      <c r="E96" s="9" t="str">
        <f>IFERROR(__xludf.DUMMYFUNCTION("""COMPUTED_VALUE"""),"普通科")</f>
        <v>普通科</v>
      </c>
      <c r="F96" s="9" t="str">
        <f>IFERROR(__xludf.DUMMYFUNCTION("""COMPUTED_VALUE"""),"三年級")</f>
        <v>三年級</v>
      </c>
      <c r="G96" s="10" t="str">
        <f>IFERROR(__xludf.DUMMYFUNCTION("""COMPUTED_VALUE"""),"獎狀")</f>
        <v>獎狀</v>
      </c>
      <c r="H96" s="9"/>
    </row>
    <row r="97">
      <c r="A97" s="5" t="s">
        <v>9</v>
      </c>
      <c r="B97" s="9" t="str">
        <f>IFERROR(__xludf.DUMMYFUNCTION("""COMPUTED_VALUE"""),"黃O滎")</f>
        <v>黃O滎</v>
      </c>
      <c r="C97" s="9" t="str">
        <f>IFERROR(__xludf.DUMMYFUNCTION("""COMPUTED_VALUE"""),"st1*****4@ms.tsh.ttu.edu.tw")</f>
        <v>st1*****4@ms.tsh.ttu.edu.tw</v>
      </c>
      <c r="D97" s="9" t="str">
        <f>IFERROR(__xludf.DUMMYFUNCTION("""COMPUTED_VALUE"""),"臺北市私立大同高級中學")</f>
        <v>臺北市私立大同高級中學</v>
      </c>
      <c r="E97" s="9" t="str">
        <f>IFERROR(__xludf.DUMMYFUNCTION("""COMPUTED_VALUE"""),"普通科")</f>
        <v>普通科</v>
      </c>
      <c r="F97" s="9" t="str">
        <f>IFERROR(__xludf.DUMMYFUNCTION("""COMPUTED_VALUE"""),"三年級")</f>
        <v>三年級</v>
      </c>
      <c r="G97" s="10" t="str">
        <f>IFERROR(__xludf.DUMMYFUNCTION("""COMPUTED_VALUE"""),"獎狀")</f>
        <v>獎狀</v>
      </c>
      <c r="H97" s="9"/>
    </row>
    <row r="98">
      <c r="A98" s="5" t="s">
        <v>9</v>
      </c>
      <c r="B98" s="9" t="str">
        <f>IFERROR(__xludf.DUMMYFUNCTION("""COMPUTED_VALUE"""),"曾O如")</f>
        <v>曾O如</v>
      </c>
      <c r="C98" s="9" t="str">
        <f>IFERROR(__xludf.DUMMYFUNCTION("""COMPUTED_VALUE"""),"st1*****0@ms.tsh.ttu.edu.tw")</f>
        <v>st1*****0@ms.tsh.ttu.edu.tw</v>
      </c>
      <c r="D98" s="9" t="str">
        <f>IFERROR(__xludf.DUMMYFUNCTION("""COMPUTED_VALUE"""),"臺北市私立大同高級中學")</f>
        <v>臺北市私立大同高級中學</v>
      </c>
      <c r="E98" s="9" t="str">
        <f>IFERROR(__xludf.DUMMYFUNCTION("""COMPUTED_VALUE"""),"普通科")</f>
        <v>普通科</v>
      </c>
      <c r="F98" s="9" t="str">
        <f>IFERROR(__xludf.DUMMYFUNCTION("""COMPUTED_VALUE"""),"三年級")</f>
        <v>三年級</v>
      </c>
      <c r="G98" s="10" t="str">
        <f>IFERROR(__xludf.DUMMYFUNCTION("""COMPUTED_VALUE"""),"獎狀")</f>
        <v>獎狀</v>
      </c>
      <c r="H98" s="9"/>
    </row>
    <row r="99">
      <c r="A99" s="5" t="s">
        <v>9</v>
      </c>
      <c r="B99" s="9" t="str">
        <f>IFERROR(__xludf.DUMMYFUNCTION("""COMPUTED_VALUE"""),"葉O晴")</f>
        <v>葉O晴</v>
      </c>
      <c r="C99" s="9" t="str">
        <f>IFERROR(__xludf.DUMMYFUNCTION("""COMPUTED_VALUE"""),"st1*****3@ms.tsh.ttu.edu.tw")</f>
        <v>st1*****3@ms.tsh.ttu.edu.tw</v>
      </c>
      <c r="D99" s="9" t="str">
        <f>IFERROR(__xludf.DUMMYFUNCTION("""COMPUTED_VALUE"""),"臺北市私立大同高級中學")</f>
        <v>臺北市私立大同高級中學</v>
      </c>
      <c r="E99" s="9" t="str">
        <f>IFERROR(__xludf.DUMMYFUNCTION("""COMPUTED_VALUE"""),"普通科")</f>
        <v>普通科</v>
      </c>
      <c r="F99" s="9" t="str">
        <f>IFERROR(__xludf.DUMMYFUNCTION("""COMPUTED_VALUE"""),"三年級")</f>
        <v>三年級</v>
      </c>
      <c r="G99" s="10" t="str">
        <f>IFERROR(__xludf.DUMMYFUNCTION("""COMPUTED_VALUE"""),"獎狀")</f>
        <v>獎狀</v>
      </c>
      <c r="H99" s="9"/>
    </row>
    <row r="100">
      <c r="A100" s="5" t="s">
        <v>9</v>
      </c>
      <c r="B100" s="9" t="str">
        <f>IFERROR(__xludf.DUMMYFUNCTION("""COMPUTED_VALUE"""),"葉O鑫")</f>
        <v>葉O鑫</v>
      </c>
      <c r="C100" s="9" t="str">
        <f>IFERROR(__xludf.DUMMYFUNCTION("""COMPUTED_VALUE"""),"st1*****8@ms.tsh.ttu.edu.tw")</f>
        <v>st1*****8@ms.tsh.ttu.edu.tw</v>
      </c>
      <c r="D100" s="9" t="str">
        <f>IFERROR(__xludf.DUMMYFUNCTION("""COMPUTED_VALUE"""),"臺北市私立大同高級中學")</f>
        <v>臺北市私立大同高級中學</v>
      </c>
      <c r="E100" s="9" t="str">
        <f>IFERROR(__xludf.DUMMYFUNCTION("""COMPUTED_VALUE"""),"普通科")</f>
        <v>普通科</v>
      </c>
      <c r="F100" s="9" t="str">
        <f>IFERROR(__xludf.DUMMYFUNCTION("""COMPUTED_VALUE"""),"三年級")</f>
        <v>三年級</v>
      </c>
      <c r="G100" s="10" t="str">
        <f>IFERROR(__xludf.DUMMYFUNCTION("""COMPUTED_VALUE"""),"獎狀")</f>
        <v>獎狀</v>
      </c>
      <c r="H100" s="9"/>
    </row>
    <row r="101">
      <c r="A101" s="5" t="s">
        <v>9</v>
      </c>
      <c r="B101" s="9" t="str">
        <f>IFERROR(__xludf.DUMMYFUNCTION("""COMPUTED_VALUE"""),"林O恩")</f>
        <v>林O恩</v>
      </c>
      <c r="C101" s="9" t="str">
        <f>IFERROR(__xludf.DUMMYFUNCTION("""COMPUTED_VALUE"""),"st1*****9@ms.tsh.ttu.edu.tw")</f>
        <v>st1*****9@ms.tsh.ttu.edu.tw</v>
      </c>
      <c r="D101" s="9" t="str">
        <f>IFERROR(__xludf.DUMMYFUNCTION("""COMPUTED_VALUE"""),"臺北市私立大同高級中學")</f>
        <v>臺北市私立大同高級中學</v>
      </c>
      <c r="E101" s="9" t="str">
        <f>IFERROR(__xludf.DUMMYFUNCTION("""COMPUTED_VALUE"""),"普通科")</f>
        <v>普通科</v>
      </c>
      <c r="F101" s="9" t="str">
        <f>IFERROR(__xludf.DUMMYFUNCTION("""COMPUTED_VALUE"""),"三年級")</f>
        <v>三年級</v>
      </c>
      <c r="G101" s="10" t="str">
        <f>IFERROR(__xludf.DUMMYFUNCTION("""COMPUTED_VALUE"""),"獎狀")</f>
        <v>獎狀</v>
      </c>
      <c r="H101" s="9"/>
    </row>
    <row r="102">
      <c r="A102" s="5" t="s">
        <v>9</v>
      </c>
      <c r="B102" s="9" t="str">
        <f>IFERROR(__xludf.DUMMYFUNCTION("""COMPUTED_VALUE"""),"葉O君")</f>
        <v>葉O君</v>
      </c>
      <c r="C102" s="9" t="str">
        <f>IFERROR(__xludf.DUMMYFUNCTION("""COMPUTED_VALUE"""),"st1*****9@ms.tsh.ttu.edu.tw")</f>
        <v>st1*****9@ms.tsh.ttu.edu.tw</v>
      </c>
      <c r="D102" s="9" t="str">
        <f>IFERROR(__xludf.DUMMYFUNCTION("""COMPUTED_VALUE"""),"臺北市私立大同高級中學")</f>
        <v>臺北市私立大同高級中學</v>
      </c>
      <c r="E102" s="9" t="str">
        <f>IFERROR(__xludf.DUMMYFUNCTION("""COMPUTED_VALUE"""),"普通科")</f>
        <v>普通科</v>
      </c>
      <c r="F102" s="9" t="str">
        <f>IFERROR(__xludf.DUMMYFUNCTION("""COMPUTED_VALUE"""),"三年級")</f>
        <v>三年級</v>
      </c>
      <c r="G102" s="10" t="str">
        <f>IFERROR(__xludf.DUMMYFUNCTION("""COMPUTED_VALUE"""),"■商品卡$200")</f>
        <v>■商品卡$200</v>
      </c>
      <c r="H102" s="9"/>
    </row>
    <row r="103">
      <c r="A103" s="5" t="s">
        <v>9</v>
      </c>
      <c r="B103" s="9" t="str">
        <f>IFERROR(__xludf.DUMMYFUNCTION("""COMPUTED_VALUE"""),"林O安")</f>
        <v>林O安</v>
      </c>
      <c r="C103" s="9" t="str">
        <f>IFERROR(__xludf.DUMMYFUNCTION("""COMPUTED_VALUE"""),"st1*****7@ms.tsh.ttu.edu.tw")</f>
        <v>st1*****7@ms.tsh.ttu.edu.tw</v>
      </c>
      <c r="D103" s="9" t="str">
        <f>IFERROR(__xludf.DUMMYFUNCTION("""COMPUTED_VALUE"""),"臺北市私立大同高級中學")</f>
        <v>臺北市私立大同高級中學</v>
      </c>
      <c r="E103" s="9" t="str">
        <f>IFERROR(__xludf.DUMMYFUNCTION("""COMPUTED_VALUE"""),"普通科")</f>
        <v>普通科</v>
      </c>
      <c r="F103" s="9" t="str">
        <f>IFERROR(__xludf.DUMMYFUNCTION("""COMPUTED_VALUE"""),"三年級")</f>
        <v>三年級</v>
      </c>
      <c r="G103" s="10" t="str">
        <f>IFERROR(__xludf.DUMMYFUNCTION("""COMPUTED_VALUE"""),"獎狀")</f>
        <v>獎狀</v>
      </c>
      <c r="H103" s="9"/>
    </row>
    <row r="104">
      <c r="A104" s="5" t="s">
        <v>9</v>
      </c>
      <c r="B104" s="9" t="str">
        <f>IFERROR(__xludf.DUMMYFUNCTION("""COMPUTED_VALUE"""),"游O萍")</f>
        <v>游O萍</v>
      </c>
      <c r="C104" s="9" t="str">
        <f>IFERROR(__xludf.DUMMYFUNCTION("""COMPUTED_VALUE"""),"st1*****7@ms.tsh.ttu.edu.tw")</f>
        <v>st1*****7@ms.tsh.ttu.edu.tw</v>
      </c>
      <c r="D104" s="9" t="str">
        <f>IFERROR(__xludf.DUMMYFUNCTION("""COMPUTED_VALUE"""),"臺北市私立大同高級中學")</f>
        <v>臺北市私立大同高級中學</v>
      </c>
      <c r="E104" s="9" t="str">
        <f>IFERROR(__xludf.DUMMYFUNCTION("""COMPUTED_VALUE"""),"普通科")</f>
        <v>普通科</v>
      </c>
      <c r="F104" s="9" t="str">
        <f>IFERROR(__xludf.DUMMYFUNCTION("""COMPUTED_VALUE"""),"三年級")</f>
        <v>三年級</v>
      </c>
      <c r="G104" s="10" t="str">
        <f>IFERROR(__xludf.DUMMYFUNCTION("""COMPUTED_VALUE"""),"獎狀")</f>
        <v>獎狀</v>
      </c>
      <c r="H104" s="9"/>
    </row>
    <row r="105">
      <c r="A105" s="5" t="s">
        <v>9</v>
      </c>
      <c r="B105" s="9" t="str">
        <f>IFERROR(__xludf.DUMMYFUNCTION("""COMPUTED_VALUE"""),"張O玲")</f>
        <v>張O玲</v>
      </c>
      <c r="C105" s="9" t="str">
        <f>IFERROR(__xludf.DUMMYFUNCTION("""COMPUTED_VALUE"""),"st1*****6@ms.tsh.ttu.edu.tw")</f>
        <v>st1*****6@ms.tsh.ttu.edu.tw</v>
      </c>
      <c r="D105" s="9" t="str">
        <f>IFERROR(__xludf.DUMMYFUNCTION("""COMPUTED_VALUE"""),"臺北市私立大同高級中學")</f>
        <v>臺北市私立大同高級中學</v>
      </c>
      <c r="E105" s="9" t="str">
        <f>IFERROR(__xludf.DUMMYFUNCTION("""COMPUTED_VALUE"""),"普通科")</f>
        <v>普通科</v>
      </c>
      <c r="F105" s="9" t="str">
        <f>IFERROR(__xludf.DUMMYFUNCTION("""COMPUTED_VALUE"""),"三年級")</f>
        <v>三年級</v>
      </c>
      <c r="G105" s="10" t="str">
        <f>IFERROR(__xludf.DUMMYFUNCTION("""COMPUTED_VALUE"""),"獎狀")</f>
        <v>獎狀</v>
      </c>
      <c r="H105" s="9"/>
    </row>
    <row r="106">
      <c r="A106" s="5" t="s">
        <v>9</v>
      </c>
      <c r="B106" s="9" t="str">
        <f>IFERROR(__xludf.DUMMYFUNCTION("""COMPUTED_VALUE"""),"林O涵")</f>
        <v>林O涵</v>
      </c>
      <c r="C106" s="9" t="str">
        <f>IFERROR(__xludf.DUMMYFUNCTION("""COMPUTED_VALUE"""),"st1*****4@ms.tsh.ttu.edu.tw")</f>
        <v>st1*****4@ms.tsh.ttu.edu.tw</v>
      </c>
      <c r="D106" s="9" t="str">
        <f>IFERROR(__xludf.DUMMYFUNCTION("""COMPUTED_VALUE"""),"臺北市私立大同高級中學")</f>
        <v>臺北市私立大同高級中學</v>
      </c>
      <c r="E106" s="9" t="str">
        <f>IFERROR(__xludf.DUMMYFUNCTION("""COMPUTED_VALUE"""),"普通科")</f>
        <v>普通科</v>
      </c>
      <c r="F106" s="9" t="str">
        <f>IFERROR(__xludf.DUMMYFUNCTION("""COMPUTED_VALUE"""),"三年級")</f>
        <v>三年級</v>
      </c>
      <c r="G106" s="10" t="str">
        <f>IFERROR(__xludf.DUMMYFUNCTION("""COMPUTED_VALUE"""),"獎狀")</f>
        <v>獎狀</v>
      </c>
      <c r="H106" s="9"/>
    </row>
    <row r="107">
      <c r="A107" s="5" t="s">
        <v>9</v>
      </c>
      <c r="B107" s="9" t="str">
        <f>IFERROR(__xludf.DUMMYFUNCTION("""COMPUTED_VALUE"""),"薛O晴")</f>
        <v>薛O晴</v>
      </c>
      <c r="C107" s="9" t="str">
        <f>IFERROR(__xludf.DUMMYFUNCTION("""COMPUTED_VALUE"""),"st1*****1@ms.tsh.ttu.edu.tw")</f>
        <v>st1*****1@ms.tsh.ttu.edu.tw</v>
      </c>
      <c r="D107" s="9" t="str">
        <f>IFERROR(__xludf.DUMMYFUNCTION("""COMPUTED_VALUE"""),"臺北市私立大同高級中學")</f>
        <v>臺北市私立大同高級中學</v>
      </c>
      <c r="E107" s="9" t="str">
        <f>IFERROR(__xludf.DUMMYFUNCTION("""COMPUTED_VALUE"""),"普通科")</f>
        <v>普通科</v>
      </c>
      <c r="F107" s="9" t="str">
        <f>IFERROR(__xludf.DUMMYFUNCTION("""COMPUTED_VALUE"""),"三年級")</f>
        <v>三年級</v>
      </c>
      <c r="G107" s="10" t="str">
        <f>IFERROR(__xludf.DUMMYFUNCTION("""COMPUTED_VALUE"""),"★商品卡$1000")</f>
        <v>★商品卡$1000</v>
      </c>
      <c r="H107" s="9"/>
    </row>
    <row r="108">
      <c r="A108" s="5" t="s">
        <v>9</v>
      </c>
      <c r="B108" s="9" t="str">
        <f>IFERROR(__xludf.DUMMYFUNCTION("""COMPUTED_VALUE"""),"徐O承")</f>
        <v>徐O承</v>
      </c>
      <c r="C108" s="9" t="str">
        <f>IFERROR(__xludf.DUMMYFUNCTION("""COMPUTED_VALUE"""),"st1*****9@ms.tsh.ttu.edu.tw")</f>
        <v>st1*****9@ms.tsh.ttu.edu.tw</v>
      </c>
      <c r="D108" s="9" t="str">
        <f>IFERROR(__xludf.DUMMYFUNCTION("""COMPUTED_VALUE"""),"臺北市私立大同高級中學")</f>
        <v>臺北市私立大同高級中學</v>
      </c>
      <c r="E108" s="9" t="str">
        <f>IFERROR(__xludf.DUMMYFUNCTION("""COMPUTED_VALUE"""),"普通科")</f>
        <v>普通科</v>
      </c>
      <c r="F108" s="9" t="str">
        <f>IFERROR(__xludf.DUMMYFUNCTION("""COMPUTED_VALUE"""),"三年級")</f>
        <v>三年級</v>
      </c>
      <c r="G108" s="10" t="str">
        <f>IFERROR(__xludf.DUMMYFUNCTION("""COMPUTED_VALUE"""),"獎狀")</f>
        <v>獎狀</v>
      </c>
      <c r="H108" s="9"/>
    </row>
    <row r="109">
      <c r="A109" s="5" t="s">
        <v>9</v>
      </c>
      <c r="B109" s="9" t="str">
        <f>IFERROR(__xludf.DUMMYFUNCTION("""COMPUTED_VALUE"""),"蕭O翔")</f>
        <v>蕭O翔</v>
      </c>
      <c r="C109" s="9" t="str">
        <f>IFERROR(__xludf.DUMMYFUNCTION("""COMPUTED_VALUE"""),"st1*****8@ms.tsh.ttu.edu.tw")</f>
        <v>st1*****8@ms.tsh.ttu.edu.tw</v>
      </c>
      <c r="D109" s="9" t="str">
        <f>IFERROR(__xludf.DUMMYFUNCTION("""COMPUTED_VALUE"""),"臺北市私立大同高級中學")</f>
        <v>臺北市私立大同高級中學</v>
      </c>
      <c r="E109" s="9" t="str">
        <f>IFERROR(__xludf.DUMMYFUNCTION("""COMPUTED_VALUE"""),"普通科")</f>
        <v>普通科</v>
      </c>
      <c r="F109" s="9" t="str">
        <f>IFERROR(__xludf.DUMMYFUNCTION("""COMPUTED_VALUE"""),"三年級")</f>
        <v>三年級</v>
      </c>
      <c r="G109" s="10" t="str">
        <f>IFERROR(__xludf.DUMMYFUNCTION("""COMPUTED_VALUE"""),"獎狀")</f>
        <v>獎狀</v>
      </c>
      <c r="H109" s="9"/>
    </row>
    <row r="110">
      <c r="A110" s="5" t="s">
        <v>9</v>
      </c>
      <c r="B110" s="9" t="str">
        <f>IFERROR(__xludf.DUMMYFUNCTION("""COMPUTED_VALUE"""),"賴O元")</f>
        <v>賴O元</v>
      </c>
      <c r="C110" s="9" t="str">
        <f>IFERROR(__xludf.DUMMYFUNCTION("""COMPUTED_VALUE"""),"st1*****3@ms.tsh.ttu.edu.tw")</f>
        <v>st1*****3@ms.tsh.ttu.edu.tw</v>
      </c>
      <c r="D110" s="9" t="str">
        <f>IFERROR(__xludf.DUMMYFUNCTION("""COMPUTED_VALUE"""),"臺北市私立大同高級中學")</f>
        <v>臺北市私立大同高級中學</v>
      </c>
      <c r="E110" s="9" t="str">
        <f>IFERROR(__xludf.DUMMYFUNCTION("""COMPUTED_VALUE"""),"普通科")</f>
        <v>普通科</v>
      </c>
      <c r="F110" s="9" t="str">
        <f>IFERROR(__xludf.DUMMYFUNCTION("""COMPUTED_VALUE"""),"三年級")</f>
        <v>三年級</v>
      </c>
      <c r="G110" s="10" t="str">
        <f>IFERROR(__xludf.DUMMYFUNCTION("""COMPUTED_VALUE"""),"獎狀")</f>
        <v>獎狀</v>
      </c>
      <c r="H110" s="9"/>
    </row>
    <row r="111">
      <c r="A111" s="5" t="s">
        <v>9</v>
      </c>
      <c r="B111" s="9" t="str">
        <f>IFERROR(__xludf.DUMMYFUNCTION("""COMPUTED_VALUE"""),"陳O澤")</f>
        <v>陳O澤</v>
      </c>
      <c r="C111" s="9" t="str">
        <f>IFERROR(__xludf.DUMMYFUNCTION("""COMPUTED_VALUE"""),"st1*****7@ms.tsh.ttu.edu.tw")</f>
        <v>st1*****7@ms.tsh.ttu.edu.tw</v>
      </c>
      <c r="D111" s="9" t="str">
        <f>IFERROR(__xludf.DUMMYFUNCTION("""COMPUTED_VALUE"""),"臺北市私立大同高級中學")</f>
        <v>臺北市私立大同高級中學</v>
      </c>
      <c r="E111" s="9" t="str">
        <f>IFERROR(__xludf.DUMMYFUNCTION("""COMPUTED_VALUE"""),"普通科")</f>
        <v>普通科</v>
      </c>
      <c r="F111" s="9" t="str">
        <f>IFERROR(__xludf.DUMMYFUNCTION("""COMPUTED_VALUE"""),"三年級")</f>
        <v>三年級</v>
      </c>
      <c r="G111" s="10" t="str">
        <f>IFERROR(__xludf.DUMMYFUNCTION("""COMPUTED_VALUE"""),"獎狀")</f>
        <v>獎狀</v>
      </c>
      <c r="H111" s="9"/>
    </row>
    <row r="112">
      <c r="A112" s="5" t="s">
        <v>9</v>
      </c>
      <c r="B112" s="9" t="str">
        <f>IFERROR(__xludf.DUMMYFUNCTION("""COMPUTED_VALUE"""),"徐O翔")</f>
        <v>徐O翔</v>
      </c>
      <c r="C112" s="9" t="str">
        <f>IFERROR(__xludf.DUMMYFUNCTION("""COMPUTED_VALUE"""),"st1*****1@ms.tsh.ttu.edu.tw")</f>
        <v>st1*****1@ms.tsh.ttu.edu.tw</v>
      </c>
      <c r="D112" s="9" t="str">
        <f>IFERROR(__xludf.DUMMYFUNCTION("""COMPUTED_VALUE"""),"臺北市私立大同高級中學")</f>
        <v>臺北市私立大同高級中學</v>
      </c>
      <c r="E112" s="9" t="str">
        <f>IFERROR(__xludf.DUMMYFUNCTION("""COMPUTED_VALUE"""),"普通科")</f>
        <v>普通科</v>
      </c>
      <c r="F112" s="9" t="str">
        <f>IFERROR(__xludf.DUMMYFUNCTION("""COMPUTED_VALUE"""),"三年級")</f>
        <v>三年級</v>
      </c>
      <c r="G112" s="10" t="str">
        <f>IFERROR(__xludf.DUMMYFUNCTION("""COMPUTED_VALUE"""),"獎狀")</f>
        <v>獎狀</v>
      </c>
      <c r="H112" s="9"/>
    </row>
    <row r="113">
      <c r="A113" s="5" t="s">
        <v>9</v>
      </c>
      <c r="B113" s="9" t="str">
        <f>IFERROR(__xludf.DUMMYFUNCTION("""COMPUTED_VALUE"""),"黃O霖")</f>
        <v>黃O霖</v>
      </c>
      <c r="C113" s="9" t="str">
        <f>IFERROR(__xludf.DUMMYFUNCTION("""COMPUTED_VALUE"""),"st1*****5@ms.tsh.ttu.edu.tw")</f>
        <v>st1*****5@ms.tsh.ttu.edu.tw</v>
      </c>
      <c r="D113" s="9" t="str">
        <f>IFERROR(__xludf.DUMMYFUNCTION("""COMPUTED_VALUE"""),"臺北市私立大同高級中學")</f>
        <v>臺北市私立大同高級中學</v>
      </c>
      <c r="E113" s="9" t="str">
        <f>IFERROR(__xludf.DUMMYFUNCTION("""COMPUTED_VALUE"""),"普通科")</f>
        <v>普通科</v>
      </c>
      <c r="F113" s="9" t="str">
        <f>IFERROR(__xludf.DUMMYFUNCTION("""COMPUTED_VALUE"""),"三年級")</f>
        <v>三年級</v>
      </c>
      <c r="G113" s="10" t="str">
        <f>IFERROR(__xludf.DUMMYFUNCTION("""COMPUTED_VALUE"""),"獎狀")</f>
        <v>獎狀</v>
      </c>
      <c r="H113" s="9"/>
    </row>
    <row r="114">
      <c r="A114" s="5" t="s">
        <v>9</v>
      </c>
      <c r="B114" s="9" t="str">
        <f>IFERROR(__xludf.DUMMYFUNCTION("""COMPUTED_VALUE"""),"黃O凌")</f>
        <v>黃O凌</v>
      </c>
      <c r="C114" s="9" t="str">
        <f>IFERROR(__xludf.DUMMYFUNCTION("""COMPUTED_VALUE"""),"st1*****6@ms.tsh.ttu.edu.tw")</f>
        <v>st1*****6@ms.tsh.ttu.edu.tw</v>
      </c>
      <c r="D114" s="9" t="str">
        <f>IFERROR(__xludf.DUMMYFUNCTION("""COMPUTED_VALUE"""),"臺北市私立大同高級中學")</f>
        <v>臺北市私立大同高級中學</v>
      </c>
      <c r="E114" s="9" t="str">
        <f>IFERROR(__xludf.DUMMYFUNCTION("""COMPUTED_VALUE"""),"普通科")</f>
        <v>普通科</v>
      </c>
      <c r="F114" s="9" t="str">
        <f>IFERROR(__xludf.DUMMYFUNCTION("""COMPUTED_VALUE"""),"三年級")</f>
        <v>三年級</v>
      </c>
      <c r="G114" s="10" t="str">
        <f>IFERROR(__xludf.DUMMYFUNCTION("""COMPUTED_VALUE"""),"獎狀")</f>
        <v>獎狀</v>
      </c>
      <c r="H114" s="9"/>
    </row>
    <row r="115">
      <c r="A115" s="5" t="s">
        <v>9</v>
      </c>
      <c r="B115" s="9" t="str">
        <f>IFERROR(__xludf.DUMMYFUNCTION("""COMPUTED_VALUE"""),"古O井")</f>
        <v>古O井</v>
      </c>
      <c r="C115" s="9" t="str">
        <f>IFERROR(__xludf.DUMMYFUNCTION("""COMPUTED_VALUE"""),"st1*****2@ms.tsh.ttu.edu.tw")</f>
        <v>st1*****2@ms.tsh.ttu.edu.tw</v>
      </c>
      <c r="D115" s="9" t="str">
        <f>IFERROR(__xludf.DUMMYFUNCTION("""COMPUTED_VALUE"""),"臺北市私立大同高級中學")</f>
        <v>臺北市私立大同高級中學</v>
      </c>
      <c r="E115" s="9" t="str">
        <f>IFERROR(__xludf.DUMMYFUNCTION("""COMPUTED_VALUE"""),"普通科")</f>
        <v>普通科</v>
      </c>
      <c r="F115" s="9" t="str">
        <f>IFERROR(__xludf.DUMMYFUNCTION("""COMPUTED_VALUE"""),"三年級")</f>
        <v>三年級</v>
      </c>
      <c r="G115" s="10" t="str">
        <f>IFERROR(__xludf.DUMMYFUNCTION("""COMPUTED_VALUE"""),"獎狀")</f>
        <v>獎狀</v>
      </c>
      <c r="H115" s="9"/>
    </row>
    <row r="116">
      <c r="A116" s="5" t="s">
        <v>9</v>
      </c>
      <c r="B116" s="9" t="str">
        <f>IFERROR(__xludf.DUMMYFUNCTION("""COMPUTED_VALUE"""),"葉O均")</f>
        <v>葉O均</v>
      </c>
      <c r="C116" s="9" t="str">
        <f>IFERROR(__xludf.DUMMYFUNCTION("""COMPUTED_VALUE"""),"st1*****9@ms.tsh.ttu.edu.tw")</f>
        <v>st1*****9@ms.tsh.ttu.edu.tw</v>
      </c>
      <c r="D116" s="9" t="str">
        <f>IFERROR(__xludf.DUMMYFUNCTION("""COMPUTED_VALUE"""),"臺北市私立大同高級中學")</f>
        <v>臺北市私立大同高級中學</v>
      </c>
      <c r="E116" s="9" t="str">
        <f>IFERROR(__xludf.DUMMYFUNCTION("""COMPUTED_VALUE"""),"普通科")</f>
        <v>普通科</v>
      </c>
      <c r="F116" s="9" t="str">
        <f>IFERROR(__xludf.DUMMYFUNCTION("""COMPUTED_VALUE"""),"三年級")</f>
        <v>三年級</v>
      </c>
      <c r="G116" s="10" t="str">
        <f>IFERROR(__xludf.DUMMYFUNCTION("""COMPUTED_VALUE"""),"獎狀")</f>
        <v>獎狀</v>
      </c>
      <c r="H116" s="9"/>
    </row>
    <row r="117">
      <c r="A117" s="5" t="s">
        <v>9</v>
      </c>
      <c r="B117" s="9" t="str">
        <f>IFERROR(__xludf.DUMMYFUNCTION("""COMPUTED_VALUE"""),"黃O晴")</f>
        <v>黃O晴</v>
      </c>
      <c r="C117" s="9" t="str">
        <f>IFERROR(__xludf.DUMMYFUNCTION("""COMPUTED_VALUE"""),"st1*****8@ms.tsh.ttu.edu.tw")</f>
        <v>st1*****8@ms.tsh.ttu.edu.tw</v>
      </c>
      <c r="D117" s="9" t="str">
        <f>IFERROR(__xludf.DUMMYFUNCTION("""COMPUTED_VALUE"""),"臺北市私立大同高級中學")</f>
        <v>臺北市私立大同高級中學</v>
      </c>
      <c r="E117" s="9" t="str">
        <f>IFERROR(__xludf.DUMMYFUNCTION("""COMPUTED_VALUE"""),"普通科")</f>
        <v>普通科</v>
      </c>
      <c r="F117" s="9" t="str">
        <f>IFERROR(__xludf.DUMMYFUNCTION("""COMPUTED_VALUE"""),"三年級")</f>
        <v>三年級</v>
      </c>
      <c r="G117" s="10" t="str">
        <f>IFERROR(__xludf.DUMMYFUNCTION("""COMPUTED_VALUE"""),"獎狀")</f>
        <v>獎狀</v>
      </c>
      <c r="H117" s="9"/>
    </row>
    <row r="118">
      <c r="A118" s="5" t="s">
        <v>9</v>
      </c>
      <c r="B118" s="9" t="str">
        <f>IFERROR(__xludf.DUMMYFUNCTION("""COMPUTED_VALUE"""),"張O翔")</f>
        <v>張O翔</v>
      </c>
      <c r="C118" s="9" t="str">
        <f>IFERROR(__xludf.DUMMYFUNCTION("""COMPUTED_VALUE"""),"st1*****3@ms.tsh.ttu.edu.tw")</f>
        <v>st1*****3@ms.tsh.ttu.edu.tw</v>
      </c>
      <c r="D118" s="9" t="str">
        <f>IFERROR(__xludf.DUMMYFUNCTION("""COMPUTED_VALUE"""),"臺北市私立大同高級中學")</f>
        <v>臺北市私立大同高級中學</v>
      </c>
      <c r="E118" s="9" t="str">
        <f>IFERROR(__xludf.DUMMYFUNCTION("""COMPUTED_VALUE"""),"普通科")</f>
        <v>普通科</v>
      </c>
      <c r="F118" s="9" t="str">
        <f>IFERROR(__xludf.DUMMYFUNCTION("""COMPUTED_VALUE"""),"三年級")</f>
        <v>三年級</v>
      </c>
      <c r="G118" s="10" t="str">
        <f>IFERROR(__xludf.DUMMYFUNCTION("""COMPUTED_VALUE"""),"獎狀")</f>
        <v>獎狀</v>
      </c>
      <c r="H118" s="9"/>
    </row>
    <row r="119">
      <c r="A119" s="5" t="s">
        <v>9</v>
      </c>
      <c r="B119" s="9" t="str">
        <f>IFERROR(__xludf.DUMMYFUNCTION("""COMPUTED_VALUE"""),"閻O融")</f>
        <v>閻O融</v>
      </c>
      <c r="C119" s="9" t="str">
        <f>IFERROR(__xludf.DUMMYFUNCTION("""COMPUTED_VALUE"""),"st1*****4@ms.tsh.ttu.edu.tw")</f>
        <v>st1*****4@ms.tsh.ttu.edu.tw</v>
      </c>
      <c r="D119" s="9" t="str">
        <f>IFERROR(__xludf.DUMMYFUNCTION("""COMPUTED_VALUE"""),"臺北市私立大同高級中學")</f>
        <v>臺北市私立大同高級中學</v>
      </c>
      <c r="E119" s="9" t="str">
        <f>IFERROR(__xludf.DUMMYFUNCTION("""COMPUTED_VALUE"""),"普通科")</f>
        <v>普通科</v>
      </c>
      <c r="F119" s="9" t="str">
        <f>IFERROR(__xludf.DUMMYFUNCTION("""COMPUTED_VALUE"""),"三年級")</f>
        <v>三年級</v>
      </c>
      <c r="G119" s="10" t="str">
        <f>IFERROR(__xludf.DUMMYFUNCTION("""COMPUTED_VALUE"""),"獎狀")</f>
        <v>獎狀</v>
      </c>
      <c r="H119" s="9"/>
    </row>
    <row r="120">
      <c r="A120" s="5" t="s">
        <v>9</v>
      </c>
      <c r="B120" s="9" t="str">
        <f>IFERROR(__xludf.DUMMYFUNCTION("""COMPUTED_VALUE"""),"蔡O展")</f>
        <v>蔡O展</v>
      </c>
      <c r="C120" s="9" t="str">
        <f>IFERROR(__xludf.DUMMYFUNCTION("""COMPUTED_VALUE"""),"st1*****2@ms.tsh.ttu.edu.tw")</f>
        <v>st1*****2@ms.tsh.ttu.edu.tw</v>
      </c>
      <c r="D120" s="9" t="str">
        <f>IFERROR(__xludf.DUMMYFUNCTION("""COMPUTED_VALUE"""),"臺北市私立大同高級中學")</f>
        <v>臺北市私立大同高級中學</v>
      </c>
      <c r="E120" s="9" t="str">
        <f>IFERROR(__xludf.DUMMYFUNCTION("""COMPUTED_VALUE"""),"普通科")</f>
        <v>普通科</v>
      </c>
      <c r="F120" s="9" t="str">
        <f>IFERROR(__xludf.DUMMYFUNCTION("""COMPUTED_VALUE"""),"三年級")</f>
        <v>三年級</v>
      </c>
      <c r="G120" s="10" t="str">
        <f>IFERROR(__xludf.DUMMYFUNCTION("""COMPUTED_VALUE"""),"獎狀")</f>
        <v>獎狀</v>
      </c>
      <c r="H120" s="9"/>
    </row>
    <row r="121">
      <c r="A121" s="5" t="s">
        <v>9</v>
      </c>
      <c r="B121" s="9" t="str">
        <f>IFERROR(__xludf.DUMMYFUNCTION("""COMPUTED_VALUE"""),"張O庭")</f>
        <v>張O庭</v>
      </c>
      <c r="C121" s="9" t="str">
        <f>IFERROR(__xludf.DUMMYFUNCTION("""COMPUTED_VALUE"""),"st1*****0@ms.tsh.ttu.edu.tw")</f>
        <v>st1*****0@ms.tsh.ttu.edu.tw</v>
      </c>
      <c r="D121" s="9" t="str">
        <f>IFERROR(__xludf.DUMMYFUNCTION("""COMPUTED_VALUE"""),"臺北市私立大同高級中學")</f>
        <v>臺北市私立大同高級中學</v>
      </c>
      <c r="E121" s="9" t="str">
        <f>IFERROR(__xludf.DUMMYFUNCTION("""COMPUTED_VALUE"""),"普通科")</f>
        <v>普通科</v>
      </c>
      <c r="F121" s="9" t="str">
        <f>IFERROR(__xludf.DUMMYFUNCTION("""COMPUTED_VALUE"""),"三年級")</f>
        <v>三年級</v>
      </c>
      <c r="G121" s="10" t="str">
        <f>IFERROR(__xludf.DUMMYFUNCTION("""COMPUTED_VALUE"""),"獎狀")</f>
        <v>獎狀</v>
      </c>
      <c r="H121" s="9"/>
    </row>
    <row r="122">
      <c r="A122" s="5" t="s">
        <v>9</v>
      </c>
      <c r="B122" s="9" t="str">
        <f>IFERROR(__xludf.DUMMYFUNCTION("""COMPUTED_VALUE"""),"陳O鈞")</f>
        <v>陳O鈞</v>
      </c>
      <c r="C122" s="9" t="str">
        <f>IFERROR(__xludf.DUMMYFUNCTION("""COMPUTED_VALUE"""),"st1*****9@ms.tsh.ttu.edu.tw")</f>
        <v>st1*****9@ms.tsh.ttu.edu.tw</v>
      </c>
      <c r="D122" s="9" t="str">
        <f>IFERROR(__xludf.DUMMYFUNCTION("""COMPUTED_VALUE"""),"臺北市私立大同高級中學")</f>
        <v>臺北市私立大同高級中學</v>
      </c>
      <c r="E122" s="9" t="str">
        <f>IFERROR(__xludf.DUMMYFUNCTION("""COMPUTED_VALUE"""),"普通科")</f>
        <v>普通科</v>
      </c>
      <c r="F122" s="9" t="str">
        <f>IFERROR(__xludf.DUMMYFUNCTION("""COMPUTED_VALUE"""),"三年級")</f>
        <v>三年級</v>
      </c>
      <c r="G122" s="10" t="str">
        <f>IFERROR(__xludf.DUMMYFUNCTION("""COMPUTED_VALUE"""),"獎狀")</f>
        <v>獎狀</v>
      </c>
      <c r="H122" s="9"/>
    </row>
    <row r="123">
      <c r="A123" s="5" t="s">
        <v>9</v>
      </c>
      <c r="B123" s="9" t="str">
        <f>IFERROR(__xludf.DUMMYFUNCTION("""COMPUTED_VALUE"""),"賴O妘")</f>
        <v>賴O妘</v>
      </c>
      <c r="C123" s="9" t="str">
        <f>IFERROR(__xludf.DUMMYFUNCTION("""COMPUTED_VALUE"""),"st1*****1@ms.tsh.ttu.edu.tw")</f>
        <v>st1*****1@ms.tsh.ttu.edu.tw</v>
      </c>
      <c r="D123" s="9" t="str">
        <f>IFERROR(__xludf.DUMMYFUNCTION("""COMPUTED_VALUE"""),"臺北市私立大同高級中學")</f>
        <v>臺北市私立大同高級中學</v>
      </c>
      <c r="E123" s="9" t="str">
        <f>IFERROR(__xludf.DUMMYFUNCTION("""COMPUTED_VALUE"""),"普通科")</f>
        <v>普通科</v>
      </c>
      <c r="F123" s="9" t="str">
        <f>IFERROR(__xludf.DUMMYFUNCTION("""COMPUTED_VALUE"""),"三年級")</f>
        <v>三年級</v>
      </c>
      <c r="G123" s="10" t="str">
        <f>IFERROR(__xludf.DUMMYFUNCTION("""COMPUTED_VALUE"""),"獎狀")</f>
        <v>獎狀</v>
      </c>
      <c r="H123" s="9"/>
    </row>
    <row r="124">
      <c r="A124" s="5" t="s">
        <v>9</v>
      </c>
      <c r="B124" s="9" t="str">
        <f>IFERROR(__xludf.DUMMYFUNCTION("""COMPUTED_VALUE"""),"游O程")</f>
        <v>游O程</v>
      </c>
      <c r="C124" s="9" t="str">
        <f>IFERROR(__xludf.DUMMYFUNCTION("""COMPUTED_VALUE"""),"st1*****1@ms.tsh.ttu.edu.tw")</f>
        <v>st1*****1@ms.tsh.ttu.edu.tw</v>
      </c>
      <c r="D124" s="9" t="str">
        <f>IFERROR(__xludf.DUMMYFUNCTION("""COMPUTED_VALUE"""),"臺北市私立大同高級中學")</f>
        <v>臺北市私立大同高級中學</v>
      </c>
      <c r="E124" s="9" t="str">
        <f>IFERROR(__xludf.DUMMYFUNCTION("""COMPUTED_VALUE"""),"普通科")</f>
        <v>普通科</v>
      </c>
      <c r="F124" s="9" t="str">
        <f>IFERROR(__xludf.DUMMYFUNCTION("""COMPUTED_VALUE"""),"三年級")</f>
        <v>三年級</v>
      </c>
      <c r="G124" s="10" t="str">
        <f>IFERROR(__xludf.DUMMYFUNCTION("""COMPUTED_VALUE"""),"獎狀")</f>
        <v>獎狀</v>
      </c>
      <c r="H124" s="9"/>
    </row>
    <row r="125">
      <c r="A125" s="5" t="s">
        <v>9</v>
      </c>
      <c r="B125" s="9" t="str">
        <f>IFERROR(__xludf.DUMMYFUNCTION("""COMPUTED_VALUE"""),"劉O彥")</f>
        <v>劉O彥</v>
      </c>
      <c r="C125" s="9" t="str">
        <f>IFERROR(__xludf.DUMMYFUNCTION("""COMPUTED_VALUE"""),"st1*****0@ms.tsh.ttu.edu.tw")</f>
        <v>st1*****0@ms.tsh.ttu.edu.tw</v>
      </c>
      <c r="D125" s="9" t="str">
        <f>IFERROR(__xludf.DUMMYFUNCTION("""COMPUTED_VALUE"""),"臺北市私立大同高級中學")</f>
        <v>臺北市私立大同高級中學</v>
      </c>
      <c r="E125" s="9" t="str">
        <f>IFERROR(__xludf.DUMMYFUNCTION("""COMPUTED_VALUE"""),"普通科")</f>
        <v>普通科</v>
      </c>
      <c r="F125" s="9" t="str">
        <f>IFERROR(__xludf.DUMMYFUNCTION("""COMPUTED_VALUE"""),"三年級")</f>
        <v>三年級</v>
      </c>
      <c r="G125" s="10" t="str">
        <f>IFERROR(__xludf.DUMMYFUNCTION("""COMPUTED_VALUE"""),"獎狀")</f>
        <v>獎狀</v>
      </c>
      <c r="H125" s="9"/>
    </row>
    <row r="126">
      <c r="A126" s="5" t="s">
        <v>9</v>
      </c>
      <c r="B126" s="9" t="str">
        <f>IFERROR(__xludf.DUMMYFUNCTION("""COMPUTED_VALUE"""),"陳O睿")</f>
        <v>陳O睿</v>
      </c>
      <c r="C126" s="9" t="str">
        <f>IFERROR(__xludf.DUMMYFUNCTION("""COMPUTED_VALUE"""),"st1*****8@ms.tsh.ttu.edu.tw")</f>
        <v>st1*****8@ms.tsh.ttu.edu.tw</v>
      </c>
      <c r="D126" s="9" t="str">
        <f>IFERROR(__xludf.DUMMYFUNCTION("""COMPUTED_VALUE"""),"臺北市私立大同高級中學")</f>
        <v>臺北市私立大同高級中學</v>
      </c>
      <c r="E126" s="9" t="str">
        <f>IFERROR(__xludf.DUMMYFUNCTION("""COMPUTED_VALUE"""),"普通科")</f>
        <v>普通科</v>
      </c>
      <c r="F126" s="9" t="str">
        <f>IFERROR(__xludf.DUMMYFUNCTION("""COMPUTED_VALUE"""),"三年級")</f>
        <v>三年級</v>
      </c>
      <c r="G126" s="10" t="str">
        <f>IFERROR(__xludf.DUMMYFUNCTION("""COMPUTED_VALUE"""),"○商品卡$500")</f>
        <v>○商品卡$500</v>
      </c>
      <c r="H126" s="9"/>
    </row>
    <row r="127">
      <c r="A127" s="5" t="s">
        <v>9</v>
      </c>
      <c r="B127" s="9" t="str">
        <f>IFERROR(__xludf.DUMMYFUNCTION("""COMPUTED_VALUE"""),"卓O宏")</f>
        <v>卓O宏</v>
      </c>
      <c r="C127" s="9" t="str">
        <f>IFERROR(__xludf.DUMMYFUNCTION("""COMPUTED_VALUE"""),"st1*****4@ms.tsh.ttu.edu.tw")</f>
        <v>st1*****4@ms.tsh.ttu.edu.tw</v>
      </c>
      <c r="D127" s="9" t="str">
        <f>IFERROR(__xludf.DUMMYFUNCTION("""COMPUTED_VALUE"""),"臺北市私立大同高級中學")</f>
        <v>臺北市私立大同高級中學</v>
      </c>
      <c r="E127" s="9" t="str">
        <f>IFERROR(__xludf.DUMMYFUNCTION("""COMPUTED_VALUE"""),"普通科")</f>
        <v>普通科</v>
      </c>
      <c r="F127" s="9" t="str">
        <f>IFERROR(__xludf.DUMMYFUNCTION("""COMPUTED_VALUE"""),"三年級")</f>
        <v>三年級</v>
      </c>
      <c r="G127" s="10" t="str">
        <f>IFERROR(__xludf.DUMMYFUNCTION("""COMPUTED_VALUE"""),"★商品卡$1000")</f>
        <v>★商品卡$1000</v>
      </c>
      <c r="H127" s="9"/>
    </row>
    <row r="128">
      <c r="A128" s="5" t="s">
        <v>9</v>
      </c>
      <c r="B128" s="9" t="str">
        <f>IFERROR(__xludf.DUMMYFUNCTION("""COMPUTED_VALUE"""),"李O慧")</f>
        <v>李O慧</v>
      </c>
      <c r="C128" s="9" t="str">
        <f>IFERROR(__xludf.DUMMYFUNCTION("""COMPUTED_VALUE"""),"st1*****3@ms.tsh.ttu.edu.tw")</f>
        <v>st1*****3@ms.tsh.ttu.edu.tw</v>
      </c>
      <c r="D128" s="9" t="str">
        <f>IFERROR(__xludf.DUMMYFUNCTION("""COMPUTED_VALUE"""),"臺北市私立大同高級中學")</f>
        <v>臺北市私立大同高級中學</v>
      </c>
      <c r="E128" s="9" t="str">
        <f>IFERROR(__xludf.DUMMYFUNCTION("""COMPUTED_VALUE"""),"普通科")</f>
        <v>普通科</v>
      </c>
      <c r="F128" s="9" t="str">
        <f>IFERROR(__xludf.DUMMYFUNCTION("""COMPUTED_VALUE"""),"三年級")</f>
        <v>三年級</v>
      </c>
      <c r="G128" s="10" t="str">
        <f>IFERROR(__xludf.DUMMYFUNCTION("""COMPUTED_VALUE"""),"獎狀")</f>
        <v>獎狀</v>
      </c>
      <c r="H128" s="9"/>
    </row>
    <row r="129">
      <c r="A129" s="5" t="s">
        <v>9</v>
      </c>
      <c r="B129" s="9" t="str">
        <f>IFERROR(__xludf.DUMMYFUNCTION("""COMPUTED_VALUE"""),"林O愷")</f>
        <v>林O愷</v>
      </c>
      <c r="C129" s="9" t="str">
        <f>IFERROR(__xludf.DUMMYFUNCTION("""COMPUTED_VALUE"""),"st1*****9@ms.tsh.ttu.edu.tw")</f>
        <v>st1*****9@ms.tsh.ttu.edu.tw</v>
      </c>
      <c r="D129" s="9" t="str">
        <f>IFERROR(__xludf.DUMMYFUNCTION("""COMPUTED_VALUE"""),"臺北市私立大同高級中學")</f>
        <v>臺北市私立大同高級中學</v>
      </c>
      <c r="E129" s="9" t="str">
        <f>IFERROR(__xludf.DUMMYFUNCTION("""COMPUTED_VALUE"""),"普通科")</f>
        <v>普通科</v>
      </c>
      <c r="F129" s="9" t="str">
        <f>IFERROR(__xludf.DUMMYFUNCTION("""COMPUTED_VALUE"""),"三年級")</f>
        <v>三年級</v>
      </c>
      <c r="G129" s="10" t="str">
        <f>IFERROR(__xludf.DUMMYFUNCTION("""COMPUTED_VALUE"""),"獎狀")</f>
        <v>獎狀</v>
      </c>
      <c r="H129" s="9"/>
    </row>
    <row r="130">
      <c r="A130" s="5" t="s">
        <v>9</v>
      </c>
      <c r="B130" s="9" t="str">
        <f>IFERROR(__xludf.DUMMYFUNCTION("""COMPUTED_VALUE"""),"歐O均")</f>
        <v>歐O均</v>
      </c>
      <c r="C130" s="9" t="str">
        <f>IFERROR(__xludf.DUMMYFUNCTION("""COMPUTED_VALUE"""),"st1*****0@ms.tsh.ttu.edu.tw")</f>
        <v>st1*****0@ms.tsh.ttu.edu.tw</v>
      </c>
      <c r="D130" s="9" t="str">
        <f>IFERROR(__xludf.DUMMYFUNCTION("""COMPUTED_VALUE"""),"臺北市私立大同高級中學")</f>
        <v>臺北市私立大同高級中學</v>
      </c>
      <c r="E130" s="9" t="str">
        <f>IFERROR(__xludf.DUMMYFUNCTION("""COMPUTED_VALUE"""),"普通科")</f>
        <v>普通科</v>
      </c>
      <c r="F130" s="9" t="str">
        <f>IFERROR(__xludf.DUMMYFUNCTION("""COMPUTED_VALUE"""),"三年級")</f>
        <v>三年級</v>
      </c>
      <c r="G130" s="10" t="str">
        <f>IFERROR(__xludf.DUMMYFUNCTION("""COMPUTED_VALUE"""),"獎狀")</f>
        <v>獎狀</v>
      </c>
      <c r="H130" s="9"/>
    </row>
    <row r="131">
      <c r="A131" s="5" t="s">
        <v>9</v>
      </c>
      <c r="B131" s="9" t="str">
        <f>IFERROR(__xludf.DUMMYFUNCTION("""COMPUTED_VALUE"""),"鍾O真")</f>
        <v>鍾O真</v>
      </c>
      <c r="C131" s="9" t="str">
        <f>IFERROR(__xludf.DUMMYFUNCTION("""COMPUTED_VALUE"""),"st1*****6@ms.tsh.ttu.edu.tw")</f>
        <v>st1*****6@ms.tsh.ttu.edu.tw</v>
      </c>
      <c r="D131" s="9" t="str">
        <f>IFERROR(__xludf.DUMMYFUNCTION("""COMPUTED_VALUE"""),"臺北市私立大同高級中學")</f>
        <v>臺北市私立大同高級中學</v>
      </c>
      <c r="E131" s="9" t="str">
        <f>IFERROR(__xludf.DUMMYFUNCTION("""COMPUTED_VALUE"""),"普通科")</f>
        <v>普通科</v>
      </c>
      <c r="F131" s="9" t="str">
        <f>IFERROR(__xludf.DUMMYFUNCTION("""COMPUTED_VALUE"""),"三年級")</f>
        <v>三年級</v>
      </c>
      <c r="G131" s="10" t="str">
        <f>IFERROR(__xludf.DUMMYFUNCTION("""COMPUTED_VALUE"""),"獎狀")</f>
        <v>獎狀</v>
      </c>
      <c r="H131" s="9"/>
    </row>
    <row r="132">
      <c r="A132" s="5" t="s">
        <v>9</v>
      </c>
      <c r="B132" s="9" t="str">
        <f>IFERROR(__xludf.DUMMYFUNCTION("""COMPUTED_VALUE"""),"溫O甯")</f>
        <v>溫O甯</v>
      </c>
      <c r="C132" s="9" t="str">
        <f>IFERROR(__xludf.DUMMYFUNCTION("""COMPUTED_VALUE"""),"st1*****7@ms.tsh.ttu.edu.tw")</f>
        <v>st1*****7@ms.tsh.ttu.edu.tw</v>
      </c>
      <c r="D132" s="9" t="str">
        <f>IFERROR(__xludf.DUMMYFUNCTION("""COMPUTED_VALUE"""),"臺北市私立大同高級中學")</f>
        <v>臺北市私立大同高級中學</v>
      </c>
      <c r="E132" s="9" t="str">
        <f>IFERROR(__xludf.DUMMYFUNCTION("""COMPUTED_VALUE"""),"普通科")</f>
        <v>普通科</v>
      </c>
      <c r="F132" s="9" t="str">
        <f>IFERROR(__xludf.DUMMYFUNCTION("""COMPUTED_VALUE"""),"三年級")</f>
        <v>三年級</v>
      </c>
      <c r="G132" s="10" t="str">
        <f>IFERROR(__xludf.DUMMYFUNCTION("""COMPUTED_VALUE"""),"獎狀")</f>
        <v>獎狀</v>
      </c>
      <c r="H132" s="9"/>
    </row>
    <row r="133">
      <c r="A133" s="5" t="s">
        <v>9</v>
      </c>
      <c r="B133" s="9" t="str">
        <f>IFERROR(__xludf.DUMMYFUNCTION("""COMPUTED_VALUE"""),"王O心")</f>
        <v>王O心</v>
      </c>
      <c r="C133" s="9" t="str">
        <f>IFERROR(__xludf.DUMMYFUNCTION("""COMPUTED_VALUE"""),"mia*****51@gmail.com")</f>
        <v>mia*****51@gmail.com</v>
      </c>
      <c r="D133" s="9" t="str">
        <f>IFERROR(__xludf.DUMMYFUNCTION("""COMPUTED_VALUE"""),"臺北市私立大同高級中學")</f>
        <v>臺北市私立大同高級中學</v>
      </c>
      <c r="E133" s="9" t="str">
        <f>IFERROR(__xludf.DUMMYFUNCTION("""COMPUTED_VALUE"""),"普通科")</f>
        <v>普通科</v>
      </c>
      <c r="F133" s="9" t="str">
        <f>IFERROR(__xludf.DUMMYFUNCTION("""COMPUTED_VALUE"""),"三年級")</f>
        <v>三年級</v>
      </c>
      <c r="G133" s="10" t="str">
        <f>IFERROR(__xludf.DUMMYFUNCTION("""COMPUTED_VALUE"""),"獎狀")</f>
        <v>獎狀</v>
      </c>
      <c r="H133" s="9"/>
    </row>
    <row r="134">
      <c r="A134" s="5" t="s">
        <v>9</v>
      </c>
      <c r="B134" s="9" t="str">
        <f>IFERROR(__xludf.DUMMYFUNCTION("""COMPUTED_VALUE"""),"黃O誠")</f>
        <v>黃O誠</v>
      </c>
      <c r="C134" s="9" t="str">
        <f>IFERROR(__xludf.DUMMYFUNCTION("""COMPUTED_VALUE"""),"pte*****54.tp@mail.edu.tw")</f>
        <v>pte*****54.tp@mail.edu.tw</v>
      </c>
      <c r="D134" s="9" t="str">
        <f>IFERROR(__xludf.DUMMYFUNCTION("""COMPUTED_VALUE"""),"臺北市私立大同高級中學")</f>
        <v>臺北市私立大同高級中學</v>
      </c>
      <c r="E134" s="9" t="str">
        <f>IFERROR(__xludf.DUMMYFUNCTION("""COMPUTED_VALUE"""),"普通科")</f>
        <v>普通科</v>
      </c>
      <c r="F134" s="9" t="str">
        <f>IFERROR(__xludf.DUMMYFUNCTION("""COMPUTED_VALUE"""),"三年級")</f>
        <v>三年級</v>
      </c>
      <c r="G134" s="10" t="str">
        <f>IFERROR(__xludf.DUMMYFUNCTION("""COMPUTED_VALUE"""),"獎狀")</f>
        <v>獎狀</v>
      </c>
      <c r="H134" s="9"/>
    </row>
    <row r="135">
      <c r="A135" s="5" t="s">
        <v>9</v>
      </c>
      <c r="B135" s="9" t="str">
        <f>IFERROR(__xludf.DUMMYFUNCTION("""COMPUTED_VALUE"""),"高O麒")</f>
        <v>高O麒</v>
      </c>
      <c r="C135" s="9" t="str">
        <f>IFERROR(__xludf.DUMMYFUNCTION("""COMPUTED_VALUE"""),"st1*****5@ms.tsh.ttu.edu.tw")</f>
        <v>st1*****5@ms.tsh.ttu.edu.tw</v>
      </c>
      <c r="D135" s="9" t="str">
        <f>IFERROR(__xludf.DUMMYFUNCTION("""COMPUTED_VALUE"""),"臺北市私立大同高級中學")</f>
        <v>臺北市私立大同高級中學</v>
      </c>
      <c r="E135" s="9" t="str">
        <f>IFERROR(__xludf.DUMMYFUNCTION("""COMPUTED_VALUE"""),"普通科")</f>
        <v>普通科</v>
      </c>
      <c r="F135" s="9" t="str">
        <f>IFERROR(__xludf.DUMMYFUNCTION("""COMPUTED_VALUE"""),"三年級")</f>
        <v>三年級</v>
      </c>
      <c r="G135" s="10" t="str">
        <f>IFERROR(__xludf.DUMMYFUNCTION("""COMPUTED_VALUE"""),"獎狀")</f>
        <v>獎狀</v>
      </c>
      <c r="H135" s="11"/>
    </row>
    <row r="136">
      <c r="A136" s="5" t="s">
        <v>9</v>
      </c>
      <c r="B136" s="9" t="str">
        <f>IFERROR(__xludf.DUMMYFUNCTION("""COMPUTED_VALUE"""),"郭O穎")</f>
        <v>郭O穎</v>
      </c>
      <c r="C136" s="9" t="str">
        <f>IFERROR(__xludf.DUMMYFUNCTION("""COMPUTED_VALUE"""),"yin*****21@gmail.com")</f>
        <v>yin*****21@gmail.com</v>
      </c>
      <c r="D136" s="9" t="str">
        <f>IFERROR(__xludf.DUMMYFUNCTION("""COMPUTED_VALUE"""),"臺北市立中崙高級中學")</f>
        <v>臺北市立中崙高級中學</v>
      </c>
      <c r="E136" s="9" t="str">
        <f>IFERROR(__xludf.DUMMYFUNCTION("""COMPUTED_VALUE"""),"普通科")</f>
        <v>普通科</v>
      </c>
      <c r="F136" s="9" t="str">
        <f>IFERROR(__xludf.DUMMYFUNCTION("""COMPUTED_VALUE"""),"一年級")</f>
        <v>一年級</v>
      </c>
      <c r="G136" s="10" t="str">
        <f>IFERROR(__xludf.DUMMYFUNCTION("""COMPUTED_VALUE"""),"獎狀")</f>
        <v>獎狀</v>
      </c>
      <c r="H136" s="11"/>
    </row>
    <row r="137">
      <c r="A137" s="5" t="s">
        <v>9</v>
      </c>
      <c r="B137" s="9" t="str">
        <f>IFERROR(__xludf.DUMMYFUNCTION("""COMPUTED_VALUE"""),"張O琍")</f>
        <v>張O琍</v>
      </c>
      <c r="C137" s="9" t="str">
        <f>IFERROR(__xludf.DUMMYFUNCTION("""COMPUTED_VALUE"""),"st1*****6@whjhs.tp.edu.tw")</f>
        <v>st1*****6@whjhs.tp.edu.tw</v>
      </c>
      <c r="D137" s="9" t="str">
        <f>IFERROR(__xludf.DUMMYFUNCTION("""COMPUTED_VALUE"""),"臺北市立中崙高級中學")</f>
        <v>臺北市立中崙高級中學</v>
      </c>
      <c r="E137" s="9" t="str">
        <f>IFERROR(__xludf.DUMMYFUNCTION("""COMPUTED_VALUE"""),"普通科")</f>
        <v>普通科</v>
      </c>
      <c r="F137" s="9" t="str">
        <f>IFERROR(__xludf.DUMMYFUNCTION("""COMPUTED_VALUE"""),"一年級")</f>
        <v>一年級</v>
      </c>
      <c r="G137" s="10" t="str">
        <f>IFERROR(__xludf.DUMMYFUNCTION("""COMPUTED_VALUE"""),"獎狀")</f>
        <v>獎狀</v>
      </c>
      <c r="H137" s="11"/>
    </row>
    <row r="138">
      <c r="A138" s="5" t="s">
        <v>9</v>
      </c>
      <c r="B138" s="9" t="str">
        <f>IFERROR(__xludf.DUMMYFUNCTION("""COMPUTED_VALUE"""),"許O婷")</f>
        <v>許O婷</v>
      </c>
      <c r="C138" s="9" t="str">
        <f>IFERROR(__xludf.DUMMYFUNCTION("""COMPUTED_VALUE"""),"h11*****4@mail1.tkis.tw")</f>
        <v>h11*****4@mail1.tkis.tw</v>
      </c>
      <c r="D138" s="9" t="str">
        <f>IFERROR(__xludf.DUMMYFUNCTION("""COMPUTED_VALUE"""),"育達學校財團法人臺北市私立育達高級中等學校")</f>
        <v>育達學校財團法人臺北市私立育達高級中等學校</v>
      </c>
      <c r="E138" s="9" t="str">
        <f>IFERROR(__xludf.DUMMYFUNCTION("""COMPUTED_VALUE"""),"普通科")</f>
        <v>普通科</v>
      </c>
      <c r="F138" s="9" t="str">
        <f>IFERROR(__xludf.DUMMYFUNCTION("""COMPUTED_VALUE"""),"二年級")</f>
        <v>二年級</v>
      </c>
      <c r="G138" s="10" t="str">
        <f>IFERROR(__xludf.DUMMYFUNCTION("""COMPUTED_VALUE"""),"獎狀")</f>
        <v>獎狀</v>
      </c>
      <c r="H138" s="11"/>
    </row>
    <row r="139">
      <c r="A139" s="5" t="s">
        <v>9</v>
      </c>
      <c r="B139" s="9" t="str">
        <f>IFERROR(__xludf.DUMMYFUNCTION("""COMPUTED_VALUE"""),"李O康")</f>
        <v>李O康</v>
      </c>
      <c r="C139" s="9" t="str">
        <f>IFERROR(__xludf.DUMMYFUNCTION("""COMPUTED_VALUE"""),"bla*****904@gmail.com")</f>
        <v>bla*****904@gmail.com</v>
      </c>
      <c r="D139" s="9" t="str">
        <f>IFERROR(__xludf.DUMMYFUNCTION("""COMPUTED_VALUE"""),"臺北市立西松高級中學")</f>
        <v>臺北市立西松高級中學</v>
      </c>
      <c r="E139" s="9" t="str">
        <f>IFERROR(__xludf.DUMMYFUNCTION("""COMPUTED_VALUE"""),"普通科")</f>
        <v>普通科</v>
      </c>
      <c r="F139" s="9" t="str">
        <f>IFERROR(__xludf.DUMMYFUNCTION("""COMPUTED_VALUE"""),"二年級")</f>
        <v>二年級</v>
      </c>
      <c r="G139" s="10" t="str">
        <f>IFERROR(__xludf.DUMMYFUNCTION("""COMPUTED_VALUE"""),"★商品卡$1000")</f>
        <v>★商品卡$1000</v>
      </c>
      <c r="H139" s="11"/>
    </row>
    <row r="140">
      <c r="A140" s="5" t="s">
        <v>9</v>
      </c>
      <c r="B140" s="9" t="str">
        <f>IFERROR(__xludf.DUMMYFUNCTION("""COMPUTED_VALUE"""),"陳O安")</f>
        <v>陳O安</v>
      </c>
      <c r="C140" s="9" t="str">
        <f>IFERROR(__xludf.DUMMYFUNCTION("""COMPUTED_VALUE"""),"113*****@ms2.hssh.tp.edu.tw")</f>
        <v>113*****@ms2.hssh.tp.edu.tw</v>
      </c>
      <c r="D140" s="9" t="str">
        <f>IFERROR(__xludf.DUMMYFUNCTION("""COMPUTED_VALUE"""),"臺北市立西松高級中學")</f>
        <v>臺北市立西松高級中學</v>
      </c>
      <c r="E140" s="9" t="str">
        <f>IFERROR(__xludf.DUMMYFUNCTION("""COMPUTED_VALUE"""),"普通科")</f>
        <v>普通科</v>
      </c>
      <c r="F140" s="9" t="str">
        <f>IFERROR(__xludf.DUMMYFUNCTION("""COMPUTED_VALUE"""),"二年級")</f>
        <v>二年級</v>
      </c>
      <c r="G140" s="10" t="str">
        <f>IFERROR(__xludf.DUMMYFUNCTION("""COMPUTED_VALUE"""),"獎狀")</f>
        <v>獎狀</v>
      </c>
      <c r="H140" s="11"/>
    </row>
    <row r="141">
      <c r="A141" s="5" t="s">
        <v>9</v>
      </c>
      <c r="B141" s="9" t="str">
        <f>IFERROR(__xludf.DUMMYFUNCTION("""COMPUTED_VALUE"""),"陳O")</f>
        <v>陳O</v>
      </c>
      <c r="C141" s="9" t="str">
        <f>IFERROR(__xludf.DUMMYFUNCTION("""COMPUTED_VALUE"""),"113*****@ms2.hssh.tp.edu.tw")</f>
        <v>113*****@ms2.hssh.tp.edu.tw</v>
      </c>
      <c r="D141" s="9" t="str">
        <f>IFERROR(__xludf.DUMMYFUNCTION("""COMPUTED_VALUE"""),"臺北市立西松高級中學")</f>
        <v>臺北市立西松高級中學</v>
      </c>
      <c r="E141" s="9" t="str">
        <f>IFERROR(__xludf.DUMMYFUNCTION("""COMPUTED_VALUE"""),"普通科")</f>
        <v>普通科</v>
      </c>
      <c r="F141" s="9" t="str">
        <f>IFERROR(__xludf.DUMMYFUNCTION("""COMPUTED_VALUE"""),"二年級")</f>
        <v>二年級</v>
      </c>
      <c r="G141" s="10" t="str">
        <f>IFERROR(__xludf.DUMMYFUNCTION("""COMPUTED_VALUE"""),"獎狀")</f>
        <v>獎狀</v>
      </c>
      <c r="H141" s="11"/>
    </row>
    <row r="142">
      <c r="A142" s="5" t="s">
        <v>9</v>
      </c>
      <c r="B142" s="9" t="str">
        <f>IFERROR(__xludf.DUMMYFUNCTION("""COMPUTED_VALUE"""),"吳O倫")</f>
        <v>吳O倫</v>
      </c>
      <c r="C142" s="9" t="str">
        <f>IFERROR(__xludf.DUMMYFUNCTION("""COMPUTED_VALUE"""),"113*****@ms2.hssh.tp.edu.tw")</f>
        <v>113*****@ms2.hssh.tp.edu.tw</v>
      </c>
      <c r="D142" s="9" t="str">
        <f>IFERROR(__xludf.DUMMYFUNCTION("""COMPUTED_VALUE"""),"臺北市立西松高級中學")</f>
        <v>臺北市立西松高級中學</v>
      </c>
      <c r="E142" s="9" t="str">
        <f>IFERROR(__xludf.DUMMYFUNCTION("""COMPUTED_VALUE"""),"普通科")</f>
        <v>普通科</v>
      </c>
      <c r="F142" s="9" t="str">
        <f>IFERROR(__xludf.DUMMYFUNCTION("""COMPUTED_VALUE"""),"二年級")</f>
        <v>二年級</v>
      </c>
      <c r="G142" s="10" t="str">
        <f>IFERROR(__xludf.DUMMYFUNCTION("""COMPUTED_VALUE"""),"獎狀")</f>
        <v>獎狀</v>
      </c>
      <c r="H142" s="11"/>
    </row>
    <row r="143">
      <c r="A143" s="5" t="s">
        <v>9</v>
      </c>
      <c r="B143" s="9" t="str">
        <f>IFERROR(__xludf.DUMMYFUNCTION("""COMPUTED_VALUE"""),"張O均")</f>
        <v>張O均</v>
      </c>
      <c r="C143" s="9" t="str">
        <f>IFERROR(__xludf.DUMMYFUNCTION("""COMPUTED_VALUE"""),"113*****@ms2.hssh.tp.edu.tw")</f>
        <v>113*****@ms2.hssh.tp.edu.tw</v>
      </c>
      <c r="D143" s="9" t="str">
        <f>IFERROR(__xludf.DUMMYFUNCTION("""COMPUTED_VALUE"""),"臺北市立西松高級中學")</f>
        <v>臺北市立西松高級中學</v>
      </c>
      <c r="E143" s="9" t="str">
        <f>IFERROR(__xludf.DUMMYFUNCTION("""COMPUTED_VALUE"""),"普通科")</f>
        <v>普通科</v>
      </c>
      <c r="F143" s="9" t="str">
        <f>IFERROR(__xludf.DUMMYFUNCTION("""COMPUTED_VALUE"""),"二年級")</f>
        <v>二年級</v>
      </c>
      <c r="G143" s="10" t="str">
        <f>IFERROR(__xludf.DUMMYFUNCTION("""COMPUTED_VALUE"""),"獎狀")</f>
        <v>獎狀</v>
      </c>
      <c r="H143" s="11"/>
    </row>
    <row r="144">
      <c r="A144" s="5" t="s">
        <v>9</v>
      </c>
      <c r="B144" s="9" t="str">
        <f>IFERROR(__xludf.DUMMYFUNCTION("""COMPUTED_VALUE"""),"江O媗")</f>
        <v>江O媗</v>
      </c>
      <c r="C144" s="9" t="str">
        <f>IFERROR(__xludf.DUMMYFUNCTION("""COMPUTED_VALUE"""),"113*****@ms2.hssh.tp.edu.tw")</f>
        <v>113*****@ms2.hssh.tp.edu.tw</v>
      </c>
      <c r="D144" s="9" t="str">
        <f>IFERROR(__xludf.DUMMYFUNCTION("""COMPUTED_VALUE"""),"臺北市立西松高級中學")</f>
        <v>臺北市立西松高級中學</v>
      </c>
      <c r="E144" s="9" t="str">
        <f>IFERROR(__xludf.DUMMYFUNCTION("""COMPUTED_VALUE"""),"普通科")</f>
        <v>普通科</v>
      </c>
      <c r="F144" s="9" t="str">
        <f>IFERROR(__xludf.DUMMYFUNCTION("""COMPUTED_VALUE"""),"二年級")</f>
        <v>二年級</v>
      </c>
      <c r="G144" s="10" t="str">
        <f>IFERROR(__xludf.DUMMYFUNCTION("""COMPUTED_VALUE"""),"★商品卡$1000")</f>
        <v>★商品卡$1000</v>
      </c>
      <c r="H144" s="11"/>
    </row>
    <row r="145">
      <c r="A145" s="5" t="s">
        <v>9</v>
      </c>
      <c r="B145" s="9" t="str">
        <f>IFERROR(__xludf.DUMMYFUNCTION("""COMPUTED_VALUE"""),"董O穎")</f>
        <v>董O穎</v>
      </c>
      <c r="C145" s="9" t="str">
        <f>IFERROR(__xludf.DUMMYFUNCTION("""COMPUTED_VALUE"""),"eli*****ng.20081212@gmail.com")</f>
        <v>eli*****ng.20081212@gmail.com</v>
      </c>
      <c r="D145" s="9" t="str">
        <f>IFERROR(__xludf.DUMMYFUNCTION("""COMPUTED_VALUE"""),"臺北市立西松高級中學")</f>
        <v>臺北市立西松高級中學</v>
      </c>
      <c r="E145" s="9" t="str">
        <f>IFERROR(__xludf.DUMMYFUNCTION("""COMPUTED_VALUE"""),"普通科")</f>
        <v>普通科</v>
      </c>
      <c r="F145" s="9" t="str">
        <f>IFERROR(__xludf.DUMMYFUNCTION("""COMPUTED_VALUE"""),"二年級")</f>
        <v>二年級</v>
      </c>
      <c r="G145" s="10" t="str">
        <f>IFERROR(__xludf.DUMMYFUNCTION("""COMPUTED_VALUE"""),"獎狀")</f>
        <v>獎狀</v>
      </c>
      <c r="H145" s="11"/>
    </row>
    <row r="146">
      <c r="A146" s="5" t="s">
        <v>9</v>
      </c>
      <c r="B146" s="9" t="str">
        <f>IFERROR(__xludf.DUMMYFUNCTION("""COMPUTED_VALUE"""),"洪O安")</f>
        <v>洪O安</v>
      </c>
      <c r="C146" s="9" t="str">
        <f>IFERROR(__xludf.DUMMYFUNCTION("""COMPUTED_VALUE"""),"113*****@ms2.hssh.tp.edu.tw")</f>
        <v>113*****@ms2.hssh.tp.edu.tw</v>
      </c>
      <c r="D146" s="9" t="str">
        <f>IFERROR(__xludf.DUMMYFUNCTION("""COMPUTED_VALUE"""),"臺北市立西松高級中學")</f>
        <v>臺北市立西松高級中學</v>
      </c>
      <c r="E146" s="9" t="str">
        <f>IFERROR(__xludf.DUMMYFUNCTION("""COMPUTED_VALUE"""),"普通科")</f>
        <v>普通科</v>
      </c>
      <c r="F146" s="9" t="str">
        <f>IFERROR(__xludf.DUMMYFUNCTION("""COMPUTED_VALUE"""),"二年級")</f>
        <v>二年級</v>
      </c>
      <c r="G146" s="10" t="str">
        <f>IFERROR(__xludf.DUMMYFUNCTION("""COMPUTED_VALUE"""),"獎狀")</f>
        <v>獎狀</v>
      </c>
      <c r="H146" s="11"/>
    </row>
    <row r="147">
      <c r="A147" s="5" t="s">
        <v>9</v>
      </c>
      <c r="B147" s="9" t="str">
        <f>IFERROR(__xludf.DUMMYFUNCTION("""COMPUTED_VALUE"""),"何O宇")</f>
        <v>何O宇</v>
      </c>
      <c r="C147" s="9" t="str">
        <f>IFERROR(__xludf.DUMMYFUNCTION("""COMPUTED_VALUE"""),"112*****@ms2.hssh.tp.edu.tw")</f>
        <v>112*****@ms2.hssh.tp.edu.tw</v>
      </c>
      <c r="D147" s="9" t="str">
        <f>IFERROR(__xludf.DUMMYFUNCTION("""COMPUTED_VALUE"""),"臺北市立西松高級中學")</f>
        <v>臺北市立西松高級中學</v>
      </c>
      <c r="E147" s="9" t="str">
        <f>IFERROR(__xludf.DUMMYFUNCTION("""COMPUTED_VALUE"""),"普通科")</f>
        <v>普通科</v>
      </c>
      <c r="F147" s="9" t="str">
        <f>IFERROR(__xludf.DUMMYFUNCTION("""COMPUTED_VALUE"""),"三年級")</f>
        <v>三年級</v>
      </c>
      <c r="G147" s="10" t="str">
        <f>IFERROR(__xludf.DUMMYFUNCTION("""COMPUTED_VALUE"""),"■商品卡$200")</f>
        <v>■商品卡$200</v>
      </c>
      <c r="H147" s="11"/>
    </row>
    <row r="148">
      <c r="A148" s="5" t="s">
        <v>9</v>
      </c>
      <c r="B148" s="9" t="str">
        <f>IFERROR(__xludf.DUMMYFUNCTION("""COMPUTED_VALUE"""),"李O軒")</f>
        <v>李O軒</v>
      </c>
      <c r="C148" s="9" t="str">
        <f>IFERROR(__xludf.DUMMYFUNCTION("""COMPUTED_VALUE"""),"113*****@ms2.hssh.tp.edu.tw")</f>
        <v>113*****@ms2.hssh.tp.edu.tw</v>
      </c>
      <c r="D148" s="9" t="str">
        <f>IFERROR(__xludf.DUMMYFUNCTION("""COMPUTED_VALUE"""),"臺北市立西松高級中學")</f>
        <v>臺北市立西松高級中學</v>
      </c>
      <c r="E148" s="9" t="str">
        <f>IFERROR(__xludf.DUMMYFUNCTION("""COMPUTED_VALUE"""),"普通科")</f>
        <v>普通科</v>
      </c>
      <c r="F148" s="9" t="str">
        <f>IFERROR(__xludf.DUMMYFUNCTION("""COMPUTED_VALUE"""),"二年級")</f>
        <v>二年級</v>
      </c>
      <c r="G148" s="10" t="str">
        <f>IFERROR(__xludf.DUMMYFUNCTION("""COMPUTED_VALUE"""),"獎狀")</f>
        <v>獎狀</v>
      </c>
      <c r="H148" s="11"/>
    </row>
    <row r="149">
      <c r="A149" s="5" t="s">
        <v>9</v>
      </c>
      <c r="B149" s="9" t="str">
        <f>IFERROR(__xludf.DUMMYFUNCTION("""COMPUTED_VALUE"""),"林O辰")</f>
        <v>林O辰</v>
      </c>
      <c r="C149" s="9" t="str">
        <f>IFERROR(__xludf.DUMMYFUNCTION("""COMPUTED_VALUE"""),"113*****@ms2.hssh.tp.edu.tw")</f>
        <v>113*****@ms2.hssh.tp.edu.tw</v>
      </c>
      <c r="D149" s="9" t="str">
        <f>IFERROR(__xludf.DUMMYFUNCTION("""COMPUTED_VALUE"""),"臺北市立西松高級中學")</f>
        <v>臺北市立西松高級中學</v>
      </c>
      <c r="E149" s="9" t="str">
        <f>IFERROR(__xludf.DUMMYFUNCTION("""COMPUTED_VALUE"""),"普通科")</f>
        <v>普通科</v>
      </c>
      <c r="F149" s="9" t="str">
        <f>IFERROR(__xludf.DUMMYFUNCTION("""COMPUTED_VALUE"""),"二年級")</f>
        <v>二年級</v>
      </c>
      <c r="G149" s="10" t="str">
        <f>IFERROR(__xludf.DUMMYFUNCTION("""COMPUTED_VALUE"""),"○商品卡$500")</f>
        <v>○商品卡$500</v>
      </c>
      <c r="H149" s="11"/>
    </row>
    <row r="150">
      <c r="A150" s="5" t="s">
        <v>9</v>
      </c>
      <c r="B150" s="9" t="str">
        <f>IFERROR(__xludf.DUMMYFUNCTION("""COMPUTED_VALUE"""),"徐O宇")</f>
        <v>徐O宇</v>
      </c>
      <c r="C150" s="9" t="str">
        <f>IFERROR(__xludf.DUMMYFUNCTION("""COMPUTED_VALUE"""),"113*****@ms2.hssh.tp.edu.tw")</f>
        <v>113*****@ms2.hssh.tp.edu.tw</v>
      </c>
      <c r="D150" s="9" t="str">
        <f>IFERROR(__xludf.DUMMYFUNCTION("""COMPUTED_VALUE"""),"臺北市立西松高級中學")</f>
        <v>臺北市立西松高級中學</v>
      </c>
      <c r="E150" s="9" t="str">
        <f>IFERROR(__xludf.DUMMYFUNCTION("""COMPUTED_VALUE"""),"普通科")</f>
        <v>普通科</v>
      </c>
      <c r="F150" s="9" t="str">
        <f>IFERROR(__xludf.DUMMYFUNCTION("""COMPUTED_VALUE"""),"二年級")</f>
        <v>二年級</v>
      </c>
      <c r="G150" s="10" t="str">
        <f>IFERROR(__xludf.DUMMYFUNCTION("""COMPUTED_VALUE"""),"獎狀")</f>
        <v>獎狀</v>
      </c>
      <c r="H150" s="11"/>
    </row>
    <row r="151">
      <c r="A151" s="5" t="s">
        <v>9</v>
      </c>
      <c r="B151" s="9" t="str">
        <f>IFERROR(__xludf.DUMMYFUNCTION("""COMPUTED_VALUE"""),"徐O原")</f>
        <v>徐O原</v>
      </c>
      <c r="C151" s="9" t="str">
        <f>IFERROR(__xludf.DUMMYFUNCTION("""COMPUTED_VALUE"""),"113*****@ms2.hssh.tp.edu.tw")</f>
        <v>113*****@ms2.hssh.tp.edu.tw</v>
      </c>
      <c r="D151" s="9" t="str">
        <f>IFERROR(__xludf.DUMMYFUNCTION("""COMPUTED_VALUE"""),"臺北市立西松高級中學")</f>
        <v>臺北市立西松高級中學</v>
      </c>
      <c r="E151" s="9" t="str">
        <f>IFERROR(__xludf.DUMMYFUNCTION("""COMPUTED_VALUE"""),"普通科")</f>
        <v>普通科</v>
      </c>
      <c r="F151" s="9" t="str">
        <f>IFERROR(__xludf.DUMMYFUNCTION("""COMPUTED_VALUE"""),"二年級")</f>
        <v>二年級</v>
      </c>
      <c r="G151" s="10" t="str">
        <f>IFERROR(__xludf.DUMMYFUNCTION("""COMPUTED_VALUE"""),"獎狀")</f>
        <v>獎狀</v>
      </c>
      <c r="H151" s="11"/>
    </row>
    <row r="152">
      <c r="A152" s="5" t="s">
        <v>9</v>
      </c>
      <c r="B152" s="9" t="str">
        <f>IFERROR(__xludf.DUMMYFUNCTION("""COMPUTED_VALUE"""),"張O恩")</f>
        <v>張O恩</v>
      </c>
      <c r="C152" s="9" t="str">
        <f>IFERROR(__xludf.DUMMYFUNCTION("""COMPUTED_VALUE"""),"113*****@ms2.hssh.tp.edu.tw")</f>
        <v>113*****@ms2.hssh.tp.edu.tw</v>
      </c>
      <c r="D152" s="9" t="str">
        <f>IFERROR(__xludf.DUMMYFUNCTION("""COMPUTED_VALUE"""),"臺北市立西松高級中學")</f>
        <v>臺北市立西松高級中學</v>
      </c>
      <c r="E152" s="9" t="str">
        <f>IFERROR(__xludf.DUMMYFUNCTION("""COMPUTED_VALUE"""),"普通科")</f>
        <v>普通科</v>
      </c>
      <c r="F152" s="9" t="str">
        <f>IFERROR(__xludf.DUMMYFUNCTION("""COMPUTED_VALUE"""),"二年級")</f>
        <v>二年級</v>
      </c>
      <c r="G152" s="10" t="str">
        <f>IFERROR(__xludf.DUMMYFUNCTION("""COMPUTED_VALUE"""),"獎狀")</f>
        <v>獎狀</v>
      </c>
      <c r="H152" s="11"/>
    </row>
    <row r="153">
      <c r="A153" s="5" t="s">
        <v>9</v>
      </c>
      <c r="B153" s="9" t="str">
        <f>IFERROR(__xludf.DUMMYFUNCTION("""COMPUTED_VALUE"""),"傅O詠")</f>
        <v>傅O詠</v>
      </c>
      <c r="C153" s="9" t="str">
        <f>IFERROR(__xludf.DUMMYFUNCTION("""COMPUTED_VALUE"""),"113*****@ms2.hssh.tp.edu.tw")</f>
        <v>113*****@ms2.hssh.tp.edu.tw</v>
      </c>
      <c r="D153" s="9" t="str">
        <f>IFERROR(__xludf.DUMMYFUNCTION("""COMPUTED_VALUE"""),"臺北市立西松高級中學")</f>
        <v>臺北市立西松高級中學</v>
      </c>
      <c r="E153" s="9" t="str">
        <f>IFERROR(__xludf.DUMMYFUNCTION("""COMPUTED_VALUE"""),"普通科")</f>
        <v>普通科</v>
      </c>
      <c r="F153" s="9" t="str">
        <f>IFERROR(__xludf.DUMMYFUNCTION("""COMPUTED_VALUE"""),"二年級")</f>
        <v>二年級</v>
      </c>
      <c r="G153" s="10" t="str">
        <f>IFERROR(__xludf.DUMMYFUNCTION("""COMPUTED_VALUE"""),"獎狀")</f>
        <v>獎狀</v>
      </c>
      <c r="H153" s="11"/>
    </row>
    <row r="154">
      <c r="A154" s="5" t="s">
        <v>9</v>
      </c>
      <c r="B154" s="9" t="str">
        <f>IFERROR(__xludf.DUMMYFUNCTION("""COMPUTED_VALUE"""),"李O穎")</f>
        <v>李O穎</v>
      </c>
      <c r="C154" s="9" t="str">
        <f>IFERROR(__xludf.DUMMYFUNCTION("""COMPUTED_VALUE"""),"113*****@ms2.hssh.tp.edu.tw")</f>
        <v>113*****@ms2.hssh.tp.edu.tw</v>
      </c>
      <c r="D154" s="9" t="str">
        <f>IFERROR(__xludf.DUMMYFUNCTION("""COMPUTED_VALUE"""),"臺北市立西松高級中學")</f>
        <v>臺北市立西松高級中學</v>
      </c>
      <c r="E154" s="9" t="str">
        <f>IFERROR(__xludf.DUMMYFUNCTION("""COMPUTED_VALUE"""),"普通科")</f>
        <v>普通科</v>
      </c>
      <c r="F154" s="9" t="str">
        <f>IFERROR(__xludf.DUMMYFUNCTION("""COMPUTED_VALUE"""),"二年級")</f>
        <v>二年級</v>
      </c>
      <c r="G154" s="10" t="str">
        <f>IFERROR(__xludf.DUMMYFUNCTION("""COMPUTED_VALUE"""),"獎狀")</f>
        <v>獎狀</v>
      </c>
      <c r="H154" s="11"/>
    </row>
    <row r="155">
      <c r="A155" s="5" t="s">
        <v>9</v>
      </c>
      <c r="B155" s="9" t="str">
        <f>IFERROR(__xludf.DUMMYFUNCTION("""COMPUTED_VALUE"""),"吳O辰")</f>
        <v>吳O辰</v>
      </c>
      <c r="C155" s="9" t="str">
        <f>IFERROR(__xludf.DUMMYFUNCTION("""COMPUTED_VALUE"""),"113*****@ms2.hssh.tp.edu.tw")</f>
        <v>113*****@ms2.hssh.tp.edu.tw</v>
      </c>
      <c r="D155" s="9" t="str">
        <f>IFERROR(__xludf.DUMMYFUNCTION("""COMPUTED_VALUE"""),"臺北市立西松高級中學")</f>
        <v>臺北市立西松高級中學</v>
      </c>
      <c r="E155" s="9" t="str">
        <f>IFERROR(__xludf.DUMMYFUNCTION("""COMPUTED_VALUE"""),"普通科")</f>
        <v>普通科</v>
      </c>
      <c r="F155" s="9" t="str">
        <f>IFERROR(__xludf.DUMMYFUNCTION("""COMPUTED_VALUE"""),"二年級")</f>
        <v>二年級</v>
      </c>
      <c r="G155" s="10" t="str">
        <f>IFERROR(__xludf.DUMMYFUNCTION("""COMPUTED_VALUE"""),"○商品卡$500")</f>
        <v>○商品卡$500</v>
      </c>
      <c r="H155" s="11"/>
    </row>
    <row r="156">
      <c r="A156" s="5" t="s">
        <v>9</v>
      </c>
      <c r="B156" s="9" t="str">
        <f>IFERROR(__xludf.DUMMYFUNCTION("""COMPUTED_VALUE"""),"王O文")</f>
        <v>王O文</v>
      </c>
      <c r="C156" s="9" t="str">
        <f>IFERROR(__xludf.DUMMYFUNCTION("""COMPUTED_VALUE"""),"113*****@ms2.hssh.tp.edu.tw")</f>
        <v>113*****@ms2.hssh.tp.edu.tw</v>
      </c>
      <c r="D156" s="9" t="str">
        <f>IFERROR(__xludf.DUMMYFUNCTION("""COMPUTED_VALUE"""),"臺北市立西松高級中學")</f>
        <v>臺北市立西松高級中學</v>
      </c>
      <c r="E156" s="9" t="str">
        <f>IFERROR(__xludf.DUMMYFUNCTION("""COMPUTED_VALUE"""),"普通科")</f>
        <v>普通科</v>
      </c>
      <c r="F156" s="9" t="str">
        <f>IFERROR(__xludf.DUMMYFUNCTION("""COMPUTED_VALUE"""),"二年級")</f>
        <v>二年級</v>
      </c>
      <c r="G156" s="10" t="str">
        <f>IFERROR(__xludf.DUMMYFUNCTION("""COMPUTED_VALUE"""),"獎狀")</f>
        <v>獎狀</v>
      </c>
      <c r="H156" s="11"/>
    </row>
    <row r="157">
      <c r="A157" s="5" t="s">
        <v>9</v>
      </c>
      <c r="B157" s="9" t="str">
        <f>IFERROR(__xludf.DUMMYFUNCTION("""COMPUTED_VALUE"""),"羅O喬")</f>
        <v>羅O喬</v>
      </c>
      <c r="C157" s="9" t="str">
        <f>IFERROR(__xludf.DUMMYFUNCTION("""COMPUTED_VALUE"""),"113*****cogsh.tp.edu.tw")</f>
        <v>113*****cogsh.tp.edu.tw</v>
      </c>
      <c r="D157" s="9" t="str">
        <f>IFERROR(__xludf.DUMMYFUNCTION("""COMPUTED_VALUE"""),"臺北市私立金甌女子高級中學")</f>
        <v>臺北市私立金甌女子高級中學</v>
      </c>
      <c r="E157" s="9" t="str">
        <f>IFERROR(__xludf.DUMMYFUNCTION("""COMPUTED_VALUE"""),"普通科")</f>
        <v>普通科</v>
      </c>
      <c r="F157" s="9" t="str">
        <f>IFERROR(__xludf.DUMMYFUNCTION("""COMPUTED_VALUE"""),"二年級")</f>
        <v>二年級</v>
      </c>
      <c r="G157" s="10" t="str">
        <f>IFERROR(__xludf.DUMMYFUNCTION("""COMPUTED_VALUE"""),"獎狀")</f>
        <v>獎狀</v>
      </c>
      <c r="H157" s="9"/>
    </row>
    <row r="158">
      <c r="A158" s="5" t="s">
        <v>9</v>
      </c>
      <c r="B158" s="9" t="str">
        <f>IFERROR(__xludf.DUMMYFUNCTION("""COMPUTED_VALUE"""),"陳O伶")</f>
        <v>陳O伶</v>
      </c>
      <c r="C158" s="9" t="str">
        <f>IFERROR(__xludf.DUMMYFUNCTION("""COMPUTED_VALUE"""),"113*****cogsh.tp.edu.tw")</f>
        <v>113*****cogsh.tp.edu.tw</v>
      </c>
      <c r="D158" s="9" t="str">
        <f>IFERROR(__xludf.DUMMYFUNCTION("""COMPUTED_VALUE"""),"臺北市私立金甌女子高級中學")</f>
        <v>臺北市私立金甌女子高級中學</v>
      </c>
      <c r="E158" s="9" t="str">
        <f>IFERROR(__xludf.DUMMYFUNCTION("""COMPUTED_VALUE"""),"普通科")</f>
        <v>普通科</v>
      </c>
      <c r="F158" s="9" t="str">
        <f>IFERROR(__xludf.DUMMYFUNCTION("""COMPUTED_VALUE"""),"二年級")</f>
        <v>二年級</v>
      </c>
      <c r="G158" s="10" t="str">
        <f>IFERROR(__xludf.DUMMYFUNCTION("""COMPUTED_VALUE"""),"○商品卡$500")</f>
        <v>○商品卡$500</v>
      </c>
      <c r="H158" s="9"/>
    </row>
    <row r="159">
      <c r="A159" s="5" t="s">
        <v>9</v>
      </c>
      <c r="B159" s="9" t="str">
        <f>IFERROR(__xludf.DUMMYFUNCTION("""COMPUTED_VALUE"""),"詹O卉")</f>
        <v>詹O卉</v>
      </c>
      <c r="C159" s="9" t="str">
        <f>IFERROR(__xludf.DUMMYFUNCTION("""COMPUTED_VALUE"""),"113*****cogsh.tp.edu.tw")</f>
        <v>113*****cogsh.tp.edu.tw</v>
      </c>
      <c r="D159" s="9" t="str">
        <f>IFERROR(__xludf.DUMMYFUNCTION("""COMPUTED_VALUE"""),"臺北市私立金甌女子高級中學")</f>
        <v>臺北市私立金甌女子高級中學</v>
      </c>
      <c r="E159" s="9" t="str">
        <f>IFERROR(__xludf.DUMMYFUNCTION("""COMPUTED_VALUE"""),"普通科")</f>
        <v>普通科</v>
      </c>
      <c r="F159" s="9" t="str">
        <f>IFERROR(__xludf.DUMMYFUNCTION("""COMPUTED_VALUE"""),"二年級")</f>
        <v>二年級</v>
      </c>
      <c r="G159" s="10" t="str">
        <f>IFERROR(__xludf.DUMMYFUNCTION("""COMPUTED_VALUE"""),"獎狀")</f>
        <v>獎狀</v>
      </c>
      <c r="H159" s="9"/>
    </row>
    <row r="160">
      <c r="A160" s="5" t="s">
        <v>9</v>
      </c>
      <c r="B160" s="9" t="str">
        <f>IFERROR(__xludf.DUMMYFUNCTION("""COMPUTED_VALUE"""),"王O婕")</f>
        <v>王O婕</v>
      </c>
      <c r="C160" s="9" t="str">
        <f>IFERROR(__xludf.DUMMYFUNCTION("""COMPUTED_VALUE"""),"113*****cogsh.tp.edu.tw")</f>
        <v>113*****cogsh.tp.edu.tw</v>
      </c>
      <c r="D160" s="9" t="str">
        <f>IFERROR(__xludf.DUMMYFUNCTION("""COMPUTED_VALUE"""),"臺北市私立金甌女子高級中學")</f>
        <v>臺北市私立金甌女子高級中學</v>
      </c>
      <c r="E160" s="9" t="str">
        <f>IFERROR(__xludf.DUMMYFUNCTION("""COMPUTED_VALUE"""),"普通科")</f>
        <v>普通科</v>
      </c>
      <c r="F160" s="9" t="str">
        <f>IFERROR(__xludf.DUMMYFUNCTION("""COMPUTED_VALUE"""),"二年級")</f>
        <v>二年級</v>
      </c>
      <c r="G160" s="10" t="str">
        <f>IFERROR(__xludf.DUMMYFUNCTION("""COMPUTED_VALUE"""),"獎狀")</f>
        <v>獎狀</v>
      </c>
      <c r="H160" s="9"/>
    </row>
    <row r="161">
      <c r="A161" s="5" t="s">
        <v>9</v>
      </c>
      <c r="B161" s="9" t="str">
        <f>IFERROR(__xludf.DUMMYFUNCTION("""COMPUTED_VALUE"""),"江O芸")</f>
        <v>江O芸</v>
      </c>
      <c r="C161" s="9" t="str">
        <f>IFERROR(__xludf.DUMMYFUNCTION("""COMPUTED_VALUE"""),"113*****cogsh.tp.edu.tw")</f>
        <v>113*****cogsh.tp.edu.tw</v>
      </c>
      <c r="D161" s="9" t="str">
        <f>IFERROR(__xludf.DUMMYFUNCTION("""COMPUTED_VALUE"""),"臺北市私立金甌女子高級中學")</f>
        <v>臺北市私立金甌女子高級中學</v>
      </c>
      <c r="E161" s="9" t="str">
        <f>IFERROR(__xludf.DUMMYFUNCTION("""COMPUTED_VALUE"""),"普通科")</f>
        <v>普通科</v>
      </c>
      <c r="F161" s="9" t="str">
        <f>IFERROR(__xludf.DUMMYFUNCTION("""COMPUTED_VALUE"""),"二年級")</f>
        <v>二年級</v>
      </c>
      <c r="G161" s="10" t="str">
        <f>IFERROR(__xludf.DUMMYFUNCTION("""COMPUTED_VALUE"""),"獎狀")</f>
        <v>獎狀</v>
      </c>
      <c r="H161" s="9"/>
    </row>
    <row r="162">
      <c r="A162" s="5" t="s">
        <v>9</v>
      </c>
      <c r="B162" s="9" t="str">
        <f>IFERROR(__xludf.DUMMYFUNCTION("""COMPUTED_VALUE"""),"陳O潔")</f>
        <v>陳O潔</v>
      </c>
      <c r="C162" s="9" t="str">
        <f>IFERROR(__xludf.DUMMYFUNCTION("""COMPUTED_VALUE"""),"113*****cogsh.tp.edu.tw")</f>
        <v>113*****cogsh.tp.edu.tw</v>
      </c>
      <c r="D162" s="9" t="str">
        <f>IFERROR(__xludf.DUMMYFUNCTION("""COMPUTED_VALUE"""),"臺北市私立金甌女子高級中學")</f>
        <v>臺北市私立金甌女子高級中學</v>
      </c>
      <c r="E162" s="9" t="str">
        <f>IFERROR(__xludf.DUMMYFUNCTION("""COMPUTED_VALUE"""),"普通科")</f>
        <v>普通科</v>
      </c>
      <c r="F162" s="9" t="str">
        <f>IFERROR(__xludf.DUMMYFUNCTION("""COMPUTED_VALUE"""),"二年級")</f>
        <v>二年級</v>
      </c>
      <c r="G162" s="10" t="str">
        <f>IFERROR(__xludf.DUMMYFUNCTION("""COMPUTED_VALUE"""),"■商品卡$200")</f>
        <v>■商品卡$200</v>
      </c>
      <c r="H162" s="9"/>
    </row>
    <row r="163">
      <c r="A163" s="5" t="s">
        <v>9</v>
      </c>
      <c r="B163" s="9" t="str">
        <f>IFERROR(__xludf.DUMMYFUNCTION("""COMPUTED_VALUE"""),"陳O淇")</f>
        <v>陳O淇</v>
      </c>
      <c r="C163" s="9" t="str">
        <f>IFERROR(__xludf.DUMMYFUNCTION("""COMPUTED_VALUE"""),"113*****cogsh.tp.edu.tw")</f>
        <v>113*****cogsh.tp.edu.tw</v>
      </c>
      <c r="D163" s="9" t="str">
        <f>IFERROR(__xludf.DUMMYFUNCTION("""COMPUTED_VALUE"""),"臺北市私立金甌女子高級中學")</f>
        <v>臺北市私立金甌女子高級中學</v>
      </c>
      <c r="E163" s="9" t="str">
        <f>IFERROR(__xludf.DUMMYFUNCTION("""COMPUTED_VALUE"""),"普通科")</f>
        <v>普通科</v>
      </c>
      <c r="F163" s="9" t="str">
        <f>IFERROR(__xludf.DUMMYFUNCTION("""COMPUTED_VALUE"""),"二年級")</f>
        <v>二年級</v>
      </c>
      <c r="G163" s="10" t="str">
        <f>IFERROR(__xludf.DUMMYFUNCTION("""COMPUTED_VALUE"""),"獎狀")</f>
        <v>獎狀</v>
      </c>
      <c r="H163" s="9"/>
    </row>
    <row r="164">
      <c r="A164" s="5" t="s">
        <v>9</v>
      </c>
      <c r="B164" s="9" t="str">
        <f>IFERROR(__xludf.DUMMYFUNCTION("""COMPUTED_VALUE"""),"陳O安")</f>
        <v>陳O安</v>
      </c>
      <c r="C164" s="9" t="str">
        <f>IFERROR(__xludf.DUMMYFUNCTION("""COMPUTED_VALUE"""),"113*****cogsh.tp.edu.tw")</f>
        <v>113*****cogsh.tp.edu.tw</v>
      </c>
      <c r="D164" s="9" t="str">
        <f>IFERROR(__xludf.DUMMYFUNCTION("""COMPUTED_VALUE"""),"臺北市私立金甌女子高級中學")</f>
        <v>臺北市私立金甌女子高級中學</v>
      </c>
      <c r="E164" s="9" t="str">
        <f>IFERROR(__xludf.DUMMYFUNCTION("""COMPUTED_VALUE"""),"普通科")</f>
        <v>普通科</v>
      </c>
      <c r="F164" s="9" t="str">
        <f>IFERROR(__xludf.DUMMYFUNCTION("""COMPUTED_VALUE"""),"二年級")</f>
        <v>二年級</v>
      </c>
      <c r="G164" s="10" t="str">
        <f>IFERROR(__xludf.DUMMYFUNCTION("""COMPUTED_VALUE"""),"獎狀")</f>
        <v>獎狀</v>
      </c>
      <c r="H164" s="9"/>
    </row>
    <row r="165">
      <c r="A165" s="5" t="s">
        <v>9</v>
      </c>
      <c r="B165" s="9" t="str">
        <f>IFERROR(__xludf.DUMMYFUNCTION("""COMPUTED_VALUE"""),"邱O捷")</f>
        <v>邱O捷</v>
      </c>
      <c r="C165" s="9" t="str">
        <f>IFERROR(__xludf.DUMMYFUNCTION("""COMPUTED_VALUE"""),"113*****cogsh.tp.edu.tw")</f>
        <v>113*****cogsh.tp.edu.tw</v>
      </c>
      <c r="D165" s="9" t="str">
        <f>IFERROR(__xludf.DUMMYFUNCTION("""COMPUTED_VALUE"""),"臺北市私立金甌女子高級中學")</f>
        <v>臺北市私立金甌女子高級中學</v>
      </c>
      <c r="E165" s="9" t="str">
        <f>IFERROR(__xludf.DUMMYFUNCTION("""COMPUTED_VALUE"""),"普通科")</f>
        <v>普通科</v>
      </c>
      <c r="F165" s="9" t="str">
        <f>IFERROR(__xludf.DUMMYFUNCTION("""COMPUTED_VALUE"""),"二年級")</f>
        <v>二年級</v>
      </c>
      <c r="G165" s="10" t="str">
        <f>IFERROR(__xludf.DUMMYFUNCTION("""COMPUTED_VALUE"""),"獎狀")</f>
        <v>獎狀</v>
      </c>
      <c r="H165" s="9"/>
    </row>
    <row r="166">
      <c r="A166" s="5" t="s">
        <v>9</v>
      </c>
      <c r="B166" s="9" t="str">
        <f>IFERROR(__xludf.DUMMYFUNCTION("""COMPUTED_VALUE"""),"蔡O函")</f>
        <v>蔡O函</v>
      </c>
      <c r="C166" s="9" t="str">
        <f>IFERROR(__xludf.DUMMYFUNCTION("""COMPUTED_VALUE"""),"113*****cogsh.tp.edu.tw")</f>
        <v>113*****cogsh.tp.edu.tw</v>
      </c>
      <c r="D166" s="9" t="str">
        <f>IFERROR(__xludf.DUMMYFUNCTION("""COMPUTED_VALUE"""),"臺北市私立金甌女子高級中學")</f>
        <v>臺北市私立金甌女子高級中學</v>
      </c>
      <c r="E166" s="9" t="str">
        <f>IFERROR(__xludf.DUMMYFUNCTION("""COMPUTED_VALUE"""),"普通科")</f>
        <v>普通科</v>
      </c>
      <c r="F166" s="9" t="str">
        <f>IFERROR(__xludf.DUMMYFUNCTION("""COMPUTED_VALUE"""),"二年級")</f>
        <v>二年級</v>
      </c>
      <c r="G166" s="10" t="str">
        <f>IFERROR(__xludf.DUMMYFUNCTION("""COMPUTED_VALUE"""),"獎狀")</f>
        <v>獎狀</v>
      </c>
      <c r="H166" s="9"/>
    </row>
    <row r="167">
      <c r="A167" s="5" t="s">
        <v>9</v>
      </c>
      <c r="B167" s="9" t="str">
        <f>IFERROR(__xludf.DUMMYFUNCTION("""COMPUTED_VALUE"""),"許O穎")</f>
        <v>許O穎</v>
      </c>
      <c r="C167" s="9" t="str">
        <f>IFERROR(__xludf.DUMMYFUNCTION("""COMPUTED_VALUE"""),"113*****cogsh.tp.edu.tw")</f>
        <v>113*****cogsh.tp.edu.tw</v>
      </c>
      <c r="D167" s="9" t="str">
        <f>IFERROR(__xludf.DUMMYFUNCTION("""COMPUTED_VALUE"""),"臺北市私立金甌女子高級中學")</f>
        <v>臺北市私立金甌女子高級中學</v>
      </c>
      <c r="E167" s="9" t="str">
        <f>IFERROR(__xludf.DUMMYFUNCTION("""COMPUTED_VALUE"""),"普通科")</f>
        <v>普通科</v>
      </c>
      <c r="F167" s="9" t="str">
        <f>IFERROR(__xludf.DUMMYFUNCTION("""COMPUTED_VALUE"""),"二年級")</f>
        <v>二年級</v>
      </c>
      <c r="G167" s="10" t="str">
        <f>IFERROR(__xludf.DUMMYFUNCTION("""COMPUTED_VALUE"""),"○商品卡$500")</f>
        <v>○商品卡$500</v>
      </c>
      <c r="H167" s="9"/>
    </row>
    <row r="168">
      <c r="A168" s="5" t="s">
        <v>9</v>
      </c>
      <c r="B168" s="9" t="str">
        <f>IFERROR(__xludf.DUMMYFUNCTION("""COMPUTED_VALUE"""),"林O穎")</f>
        <v>林O穎</v>
      </c>
      <c r="C168" s="9" t="str">
        <f>IFERROR(__xludf.DUMMYFUNCTION("""COMPUTED_VALUE"""),"113*****cogsh.tp.edu.tw")</f>
        <v>113*****cogsh.tp.edu.tw</v>
      </c>
      <c r="D168" s="9" t="str">
        <f>IFERROR(__xludf.DUMMYFUNCTION("""COMPUTED_VALUE"""),"臺北市私立金甌女子高級中學")</f>
        <v>臺北市私立金甌女子高級中學</v>
      </c>
      <c r="E168" s="9" t="str">
        <f>IFERROR(__xludf.DUMMYFUNCTION("""COMPUTED_VALUE"""),"普通科")</f>
        <v>普通科</v>
      </c>
      <c r="F168" s="9" t="str">
        <f>IFERROR(__xludf.DUMMYFUNCTION("""COMPUTED_VALUE"""),"二年級")</f>
        <v>二年級</v>
      </c>
      <c r="G168" s="10" t="str">
        <f>IFERROR(__xludf.DUMMYFUNCTION("""COMPUTED_VALUE"""),"獎狀")</f>
        <v>獎狀</v>
      </c>
      <c r="H168" s="9"/>
    </row>
    <row r="169">
      <c r="A169" s="5" t="s">
        <v>9</v>
      </c>
      <c r="B169" s="9" t="str">
        <f>IFERROR(__xludf.DUMMYFUNCTION("""COMPUTED_VALUE"""),"陳O熏")</f>
        <v>陳O熏</v>
      </c>
      <c r="C169" s="9" t="str">
        <f>IFERROR(__xludf.DUMMYFUNCTION("""COMPUTED_VALUE"""),"113*****cogsh.tp.edu.tw")</f>
        <v>113*****cogsh.tp.edu.tw</v>
      </c>
      <c r="D169" s="9" t="str">
        <f>IFERROR(__xludf.DUMMYFUNCTION("""COMPUTED_VALUE"""),"臺北市私立金甌女子高級中學")</f>
        <v>臺北市私立金甌女子高級中學</v>
      </c>
      <c r="E169" s="9" t="str">
        <f>IFERROR(__xludf.DUMMYFUNCTION("""COMPUTED_VALUE"""),"普通科")</f>
        <v>普通科</v>
      </c>
      <c r="F169" s="9" t="str">
        <f>IFERROR(__xludf.DUMMYFUNCTION("""COMPUTED_VALUE"""),"二年級")</f>
        <v>二年級</v>
      </c>
      <c r="G169" s="10" t="str">
        <f>IFERROR(__xludf.DUMMYFUNCTION("""COMPUTED_VALUE"""),"獎狀")</f>
        <v>獎狀</v>
      </c>
      <c r="H169" s="9"/>
    </row>
    <row r="170">
      <c r="A170" s="5" t="s">
        <v>9</v>
      </c>
      <c r="B170" s="9" t="str">
        <f>IFERROR(__xludf.DUMMYFUNCTION("""COMPUTED_VALUE"""),"厙O廷")</f>
        <v>厙O廷</v>
      </c>
      <c r="C170" s="9" t="str">
        <f>IFERROR(__xludf.DUMMYFUNCTION("""COMPUTED_VALUE"""),"113*****cogsh.tp.edu.tw")</f>
        <v>113*****cogsh.tp.edu.tw</v>
      </c>
      <c r="D170" s="9" t="str">
        <f>IFERROR(__xludf.DUMMYFUNCTION("""COMPUTED_VALUE"""),"臺北市私立金甌女子高級中學")</f>
        <v>臺北市私立金甌女子高級中學</v>
      </c>
      <c r="E170" s="9" t="str">
        <f>IFERROR(__xludf.DUMMYFUNCTION("""COMPUTED_VALUE"""),"普通科")</f>
        <v>普通科</v>
      </c>
      <c r="F170" s="9" t="str">
        <f>IFERROR(__xludf.DUMMYFUNCTION("""COMPUTED_VALUE"""),"二年級")</f>
        <v>二年級</v>
      </c>
      <c r="G170" s="10" t="str">
        <f>IFERROR(__xludf.DUMMYFUNCTION("""COMPUTED_VALUE"""),"獎狀")</f>
        <v>獎狀</v>
      </c>
      <c r="H170" s="9"/>
    </row>
    <row r="171">
      <c r="A171" s="5" t="s">
        <v>9</v>
      </c>
      <c r="B171" s="9" t="str">
        <f>IFERROR(__xludf.DUMMYFUNCTION("""COMPUTED_VALUE"""),"蔡O錞")</f>
        <v>蔡O錞</v>
      </c>
      <c r="C171" s="9" t="str">
        <f>IFERROR(__xludf.DUMMYFUNCTION("""COMPUTED_VALUE"""),"113*****cogsh.tp.edu.tw")</f>
        <v>113*****cogsh.tp.edu.tw</v>
      </c>
      <c r="D171" s="9" t="str">
        <f>IFERROR(__xludf.DUMMYFUNCTION("""COMPUTED_VALUE"""),"臺北市私立金甌女子高級中學")</f>
        <v>臺北市私立金甌女子高級中學</v>
      </c>
      <c r="E171" s="9" t="str">
        <f>IFERROR(__xludf.DUMMYFUNCTION("""COMPUTED_VALUE"""),"普通科")</f>
        <v>普通科</v>
      </c>
      <c r="F171" s="9" t="str">
        <f>IFERROR(__xludf.DUMMYFUNCTION("""COMPUTED_VALUE"""),"二年級")</f>
        <v>二年級</v>
      </c>
      <c r="G171" s="10" t="str">
        <f>IFERROR(__xludf.DUMMYFUNCTION("""COMPUTED_VALUE"""),"獎狀")</f>
        <v>獎狀</v>
      </c>
      <c r="H171" s="9"/>
    </row>
    <row r="172">
      <c r="A172" s="5" t="s">
        <v>9</v>
      </c>
      <c r="B172" s="9" t="str">
        <f>IFERROR(__xludf.DUMMYFUNCTION("""COMPUTED_VALUE"""),"陳O希")</f>
        <v>陳O希</v>
      </c>
      <c r="C172" s="9" t="str">
        <f>IFERROR(__xludf.DUMMYFUNCTION("""COMPUTED_VALUE"""),"113*****cogsh.tp.edu.tw")</f>
        <v>113*****cogsh.tp.edu.tw</v>
      </c>
      <c r="D172" s="9" t="str">
        <f>IFERROR(__xludf.DUMMYFUNCTION("""COMPUTED_VALUE"""),"臺北市私立金甌女子高級中學")</f>
        <v>臺北市私立金甌女子高級中學</v>
      </c>
      <c r="E172" s="9" t="str">
        <f>IFERROR(__xludf.DUMMYFUNCTION("""COMPUTED_VALUE"""),"普通科")</f>
        <v>普通科</v>
      </c>
      <c r="F172" s="9" t="str">
        <f>IFERROR(__xludf.DUMMYFUNCTION("""COMPUTED_VALUE"""),"二年級")</f>
        <v>二年級</v>
      </c>
      <c r="G172" s="10" t="str">
        <f>IFERROR(__xludf.DUMMYFUNCTION("""COMPUTED_VALUE"""),"獎狀")</f>
        <v>獎狀</v>
      </c>
      <c r="H172" s="9"/>
    </row>
    <row r="173">
      <c r="A173" s="5" t="s">
        <v>9</v>
      </c>
      <c r="B173" s="9" t="str">
        <f>IFERROR(__xludf.DUMMYFUNCTION("""COMPUTED_VALUE"""),"蔡O錞")</f>
        <v>蔡O錞</v>
      </c>
      <c r="C173" s="9" t="str">
        <f>IFERROR(__xludf.DUMMYFUNCTION("""COMPUTED_VALUE"""),"113*****cogsh.tp.edu.tw")</f>
        <v>113*****cogsh.tp.edu.tw</v>
      </c>
      <c r="D173" s="9" t="str">
        <f>IFERROR(__xludf.DUMMYFUNCTION("""COMPUTED_VALUE"""),"臺北市私立金甌女子高級中學")</f>
        <v>臺北市私立金甌女子高級中學</v>
      </c>
      <c r="E173" s="9" t="str">
        <f>IFERROR(__xludf.DUMMYFUNCTION("""COMPUTED_VALUE"""),"普通科")</f>
        <v>普通科</v>
      </c>
      <c r="F173" s="9" t="str">
        <f>IFERROR(__xludf.DUMMYFUNCTION("""COMPUTED_VALUE"""),"二年級")</f>
        <v>二年級</v>
      </c>
      <c r="G173" s="10" t="str">
        <f>IFERROR(__xludf.DUMMYFUNCTION("""COMPUTED_VALUE"""),"獎狀")</f>
        <v>獎狀</v>
      </c>
      <c r="H173" s="9"/>
    </row>
    <row r="174">
      <c r="A174" s="5" t="s">
        <v>9</v>
      </c>
      <c r="B174" s="9" t="str">
        <f>IFERROR(__xludf.DUMMYFUNCTION("""COMPUTED_VALUE"""),"廖O棠")</f>
        <v>廖O棠</v>
      </c>
      <c r="C174" s="9" t="str">
        <f>IFERROR(__xludf.DUMMYFUNCTION("""COMPUTED_VALUE"""),"113*****cogsh.tp.edu.tw")</f>
        <v>113*****cogsh.tp.edu.tw</v>
      </c>
      <c r="D174" s="9" t="str">
        <f>IFERROR(__xludf.DUMMYFUNCTION("""COMPUTED_VALUE"""),"臺北市私立金甌女子高級中學")</f>
        <v>臺北市私立金甌女子高級中學</v>
      </c>
      <c r="E174" s="9" t="str">
        <f>IFERROR(__xludf.DUMMYFUNCTION("""COMPUTED_VALUE"""),"普通科")</f>
        <v>普通科</v>
      </c>
      <c r="F174" s="9" t="str">
        <f>IFERROR(__xludf.DUMMYFUNCTION("""COMPUTED_VALUE"""),"二年級")</f>
        <v>二年級</v>
      </c>
      <c r="G174" s="10" t="str">
        <f>IFERROR(__xludf.DUMMYFUNCTION("""COMPUTED_VALUE"""),"獎狀")</f>
        <v>獎狀</v>
      </c>
      <c r="H174" s="9"/>
    </row>
    <row r="175">
      <c r="A175" s="5" t="s">
        <v>9</v>
      </c>
      <c r="B175" s="9" t="str">
        <f>IFERROR(__xludf.DUMMYFUNCTION("""COMPUTED_VALUE"""),"李O杰")</f>
        <v>李O杰</v>
      </c>
      <c r="C175" s="9" t="str">
        <f>IFERROR(__xludf.DUMMYFUNCTION("""COMPUTED_VALUE"""),"113*****cogsh.tp.edu.tw")</f>
        <v>113*****cogsh.tp.edu.tw</v>
      </c>
      <c r="D175" s="9" t="str">
        <f>IFERROR(__xludf.DUMMYFUNCTION("""COMPUTED_VALUE"""),"臺北市私立金甌女子高級中學")</f>
        <v>臺北市私立金甌女子高級中學</v>
      </c>
      <c r="E175" s="9" t="str">
        <f>IFERROR(__xludf.DUMMYFUNCTION("""COMPUTED_VALUE"""),"普通科")</f>
        <v>普通科</v>
      </c>
      <c r="F175" s="9" t="str">
        <f>IFERROR(__xludf.DUMMYFUNCTION("""COMPUTED_VALUE"""),"二年級")</f>
        <v>二年級</v>
      </c>
      <c r="G175" s="10" t="str">
        <f>IFERROR(__xludf.DUMMYFUNCTION("""COMPUTED_VALUE"""),"獎狀")</f>
        <v>獎狀</v>
      </c>
      <c r="H175" s="9"/>
    </row>
    <row r="176">
      <c r="A176" s="5" t="s">
        <v>9</v>
      </c>
      <c r="B176" s="9" t="str">
        <f>IFERROR(__xludf.DUMMYFUNCTION("""COMPUTED_VALUE"""),"林O霓")</f>
        <v>林O霓</v>
      </c>
      <c r="C176" s="9" t="str">
        <f>IFERROR(__xludf.DUMMYFUNCTION("""COMPUTED_VALUE"""),"113*****cogsh.tp.edu.tw")</f>
        <v>113*****cogsh.tp.edu.tw</v>
      </c>
      <c r="D176" s="9" t="str">
        <f>IFERROR(__xludf.DUMMYFUNCTION("""COMPUTED_VALUE"""),"臺北市私立金甌女子高級中學")</f>
        <v>臺北市私立金甌女子高級中學</v>
      </c>
      <c r="E176" s="9" t="str">
        <f>IFERROR(__xludf.DUMMYFUNCTION("""COMPUTED_VALUE"""),"普通科")</f>
        <v>普通科</v>
      </c>
      <c r="F176" s="9" t="str">
        <f>IFERROR(__xludf.DUMMYFUNCTION("""COMPUTED_VALUE"""),"二年級")</f>
        <v>二年級</v>
      </c>
      <c r="G176" s="10" t="str">
        <f>IFERROR(__xludf.DUMMYFUNCTION("""COMPUTED_VALUE"""),"○商品卡$500")</f>
        <v>○商品卡$500</v>
      </c>
      <c r="H176" s="9"/>
    </row>
    <row r="177">
      <c r="A177" s="5" t="s">
        <v>9</v>
      </c>
      <c r="B177" s="9" t="str">
        <f>IFERROR(__xludf.DUMMYFUNCTION("""COMPUTED_VALUE"""),"陳O均")</f>
        <v>陳O均</v>
      </c>
      <c r="C177" s="9" t="str">
        <f>IFERROR(__xludf.DUMMYFUNCTION("""COMPUTED_VALUE"""),"112*****cogsh.tp.edu.tw")</f>
        <v>112*****cogsh.tp.edu.tw</v>
      </c>
      <c r="D177" s="9" t="str">
        <f>IFERROR(__xludf.DUMMYFUNCTION("""COMPUTED_VALUE"""),"臺北市私立金甌女子高級中學")</f>
        <v>臺北市私立金甌女子高級中學</v>
      </c>
      <c r="E177" s="9" t="str">
        <f>IFERROR(__xludf.DUMMYFUNCTION("""COMPUTED_VALUE"""),"普通科")</f>
        <v>普通科</v>
      </c>
      <c r="F177" s="9" t="str">
        <f>IFERROR(__xludf.DUMMYFUNCTION("""COMPUTED_VALUE"""),"二年級")</f>
        <v>二年級</v>
      </c>
      <c r="G177" s="10" t="str">
        <f>IFERROR(__xludf.DUMMYFUNCTION("""COMPUTED_VALUE"""),"獎狀")</f>
        <v>獎狀</v>
      </c>
      <c r="H177" s="9"/>
    </row>
    <row r="178">
      <c r="A178" s="5" t="s">
        <v>9</v>
      </c>
      <c r="B178" s="9" t="str">
        <f>IFERROR(__xludf.DUMMYFUNCTION("""COMPUTED_VALUE"""),"王O甯")</f>
        <v>王O甯</v>
      </c>
      <c r="C178" s="9" t="str">
        <f>IFERROR(__xludf.DUMMYFUNCTION("""COMPUTED_VALUE"""),"112*****cogsh.tp.edu.tw")</f>
        <v>112*****cogsh.tp.edu.tw</v>
      </c>
      <c r="D178" s="9" t="str">
        <f>IFERROR(__xludf.DUMMYFUNCTION("""COMPUTED_VALUE"""),"臺北市私立金甌女子高級中學")</f>
        <v>臺北市私立金甌女子高級中學</v>
      </c>
      <c r="E178" s="9" t="str">
        <f>IFERROR(__xludf.DUMMYFUNCTION("""COMPUTED_VALUE"""),"普通科")</f>
        <v>普通科</v>
      </c>
      <c r="F178" s="9" t="str">
        <f>IFERROR(__xludf.DUMMYFUNCTION("""COMPUTED_VALUE"""),"二年級")</f>
        <v>二年級</v>
      </c>
      <c r="G178" s="10" t="str">
        <f>IFERROR(__xludf.DUMMYFUNCTION("""COMPUTED_VALUE"""),"獎狀")</f>
        <v>獎狀</v>
      </c>
      <c r="H178" s="9"/>
    </row>
    <row r="179">
      <c r="A179" s="5" t="s">
        <v>9</v>
      </c>
      <c r="B179" s="9" t="str">
        <f>IFERROR(__xludf.DUMMYFUNCTION("""COMPUTED_VALUE"""),"陳O妤")</f>
        <v>陳O妤</v>
      </c>
      <c r="C179" s="9" t="str">
        <f>IFERROR(__xludf.DUMMYFUNCTION("""COMPUTED_VALUE"""),"112*****cogsh.tp.edu.tw")</f>
        <v>112*****cogsh.tp.edu.tw</v>
      </c>
      <c r="D179" s="9" t="str">
        <f>IFERROR(__xludf.DUMMYFUNCTION("""COMPUTED_VALUE"""),"臺北市私立金甌女子高級中學")</f>
        <v>臺北市私立金甌女子高級中學</v>
      </c>
      <c r="E179" s="9" t="str">
        <f>IFERROR(__xludf.DUMMYFUNCTION("""COMPUTED_VALUE"""),"普通科")</f>
        <v>普通科</v>
      </c>
      <c r="F179" s="9" t="str">
        <f>IFERROR(__xludf.DUMMYFUNCTION("""COMPUTED_VALUE"""),"二年級")</f>
        <v>二年級</v>
      </c>
      <c r="G179" s="10" t="str">
        <f>IFERROR(__xludf.DUMMYFUNCTION("""COMPUTED_VALUE"""),"獎狀")</f>
        <v>獎狀</v>
      </c>
      <c r="H179" s="9"/>
    </row>
    <row r="180">
      <c r="A180" s="5" t="s">
        <v>9</v>
      </c>
      <c r="B180" s="9" t="str">
        <f>IFERROR(__xludf.DUMMYFUNCTION("""COMPUTED_VALUE"""),"林O數")</f>
        <v>林O數</v>
      </c>
      <c r="C180" s="9" t="str">
        <f>IFERROR(__xludf.DUMMYFUNCTION("""COMPUTED_VALUE"""),"112*****cogsh.tp.edu.tw")</f>
        <v>112*****cogsh.tp.edu.tw</v>
      </c>
      <c r="D180" s="9" t="str">
        <f>IFERROR(__xludf.DUMMYFUNCTION("""COMPUTED_VALUE"""),"臺北市私立金甌女子高級中學")</f>
        <v>臺北市私立金甌女子高級中學</v>
      </c>
      <c r="E180" s="9" t="str">
        <f>IFERROR(__xludf.DUMMYFUNCTION("""COMPUTED_VALUE"""),"普通科")</f>
        <v>普通科</v>
      </c>
      <c r="F180" s="9" t="str">
        <f>IFERROR(__xludf.DUMMYFUNCTION("""COMPUTED_VALUE"""),"二年級")</f>
        <v>二年級</v>
      </c>
      <c r="G180" s="10" t="str">
        <f>IFERROR(__xludf.DUMMYFUNCTION("""COMPUTED_VALUE"""),"獎狀")</f>
        <v>獎狀</v>
      </c>
      <c r="H180" s="9"/>
    </row>
    <row r="181">
      <c r="A181" s="5" t="s">
        <v>9</v>
      </c>
      <c r="B181" s="9" t="str">
        <f>IFERROR(__xludf.DUMMYFUNCTION("""COMPUTED_VALUE"""),"王O寧")</f>
        <v>王O寧</v>
      </c>
      <c r="C181" s="9" t="str">
        <f>IFERROR(__xludf.DUMMYFUNCTION("""COMPUTED_VALUE"""),"112*****cogsh.tp.edu.tw")</f>
        <v>112*****cogsh.tp.edu.tw</v>
      </c>
      <c r="D181" s="9" t="str">
        <f>IFERROR(__xludf.DUMMYFUNCTION("""COMPUTED_VALUE"""),"臺北市私立金甌女子高級中學")</f>
        <v>臺北市私立金甌女子高級中學</v>
      </c>
      <c r="E181" s="9" t="str">
        <f>IFERROR(__xludf.DUMMYFUNCTION("""COMPUTED_VALUE"""),"普通科")</f>
        <v>普通科</v>
      </c>
      <c r="F181" s="9" t="str">
        <f>IFERROR(__xludf.DUMMYFUNCTION("""COMPUTED_VALUE"""),"二年級")</f>
        <v>二年級</v>
      </c>
      <c r="G181" s="10" t="str">
        <f>IFERROR(__xludf.DUMMYFUNCTION("""COMPUTED_VALUE"""),"獎狀")</f>
        <v>獎狀</v>
      </c>
      <c r="H181" s="9"/>
    </row>
    <row r="182">
      <c r="A182" s="5" t="s">
        <v>9</v>
      </c>
      <c r="B182" s="9" t="str">
        <f>IFERROR(__xludf.DUMMYFUNCTION("""COMPUTED_VALUE"""),"劉O妤")</f>
        <v>劉O妤</v>
      </c>
      <c r="C182" s="9" t="str">
        <f>IFERROR(__xludf.DUMMYFUNCTION("""COMPUTED_VALUE"""),"112*****cogsh.tp.edu.tw")</f>
        <v>112*****cogsh.tp.edu.tw</v>
      </c>
      <c r="D182" s="9" t="str">
        <f>IFERROR(__xludf.DUMMYFUNCTION("""COMPUTED_VALUE"""),"臺北市私立金甌女子高級中學")</f>
        <v>臺北市私立金甌女子高級中學</v>
      </c>
      <c r="E182" s="9" t="str">
        <f>IFERROR(__xludf.DUMMYFUNCTION("""COMPUTED_VALUE"""),"普通科")</f>
        <v>普通科</v>
      </c>
      <c r="F182" s="9" t="str">
        <f>IFERROR(__xludf.DUMMYFUNCTION("""COMPUTED_VALUE"""),"二年級")</f>
        <v>二年級</v>
      </c>
      <c r="G182" s="10" t="str">
        <f>IFERROR(__xludf.DUMMYFUNCTION("""COMPUTED_VALUE"""),"獎狀")</f>
        <v>獎狀</v>
      </c>
      <c r="H182" s="9"/>
    </row>
    <row r="183">
      <c r="A183" s="5" t="s">
        <v>9</v>
      </c>
      <c r="B183" s="9" t="str">
        <f>IFERROR(__xludf.DUMMYFUNCTION("""COMPUTED_VALUE"""),"張O妮")</f>
        <v>張O妮</v>
      </c>
      <c r="C183" s="9" t="str">
        <f>IFERROR(__xludf.DUMMYFUNCTION("""COMPUTED_VALUE"""),"113*****cogsh.tp.edu.tw")</f>
        <v>113*****cogsh.tp.edu.tw</v>
      </c>
      <c r="D183" s="9" t="str">
        <f>IFERROR(__xludf.DUMMYFUNCTION("""COMPUTED_VALUE"""),"臺北市私立金甌女子高級中學")</f>
        <v>臺北市私立金甌女子高級中學</v>
      </c>
      <c r="E183" s="9" t="str">
        <f>IFERROR(__xludf.DUMMYFUNCTION("""COMPUTED_VALUE"""),"普通科")</f>
        <v>普通科</v>
      </c>
      <c r="F183" s="9" t="str">
        <f>IFERROR(__xludf.DUMMYFUNCTION("""COMPUTED_VALUE"""),"二年級")</f>
        <v>二年級</v>
      </c>
      <c r="G183" s="10" t="str">
        <f>IFERROR(__xludf.DUMMYFUNCTION("""COMPUTED_VALUE"""),"獎狀")</f>
        <v>獎狀</v>
      </c>
      <c r="H183" s="9"/>
    </row>
    <row r="184">
      <c r="A184" s="5" t="s">
        <v>9</v>
      </c>
      <c r="B184" s="9" t="str">
        <f>IFERROR(__xludf.DUMMYFUNCTION("""COMPUTED_VALUE"""),"許O珊")</f>
        <v>許O珊</v>
      </c>
      <c r="C184" s="9" t="str">
        <f>IFERROR(__xludf.DUMMYFUNCTION("""COMPUTED_VALUE"""),"113*****cogsh.tp.edu.tw")</f>
        <v>113*****cogsh.tp.edu.tw</v>
      </c>
      <c r="D184" s="9" t="str">
        <f>IFERROR(__xludf.DUMMYFUNCTION("""COMPUTED_VALUE"""),"臺北市私立金甌女子高級中學")</f>
        <v>臺北市私立金甌女子高級中學</v>
      </c>
      <c r="E184" s="9" t="str">
        <f>IFERROR(__xludf.DUMMYFUNCTION("""COMPUTED_VALUE"""),"普通科")</f>
        <v>普通科</v>
      </c>
      <c r="F184" s="9" t="str">
        <f>IFERROR(__xludf.DUMMYFUNCTION("""COMPUTED_VALUE"""),"二年級")</f>
        <v>二年級</v>
      </c>
      <c r="G184" s="10" t="str">
        <f>IFERROR(__xludf.DUMMYFUNCTION("""COMPUTED_VALUE"""),"獎狀")</f>
        <v>獎狀</v>
      </c>
      <c r="H184" s="9"/>
    </row>
    <row r="185">
      <c r="A185" s="5" t="s">
        <v>9</v>
      </c>
      <c r="B185" s="9" t="str">
        <f>IFERROR(__xludf.DUMMYFUNCTION("""COMPUTED_VALUE"""),"金O鈴")</f>
        <v>金O鈴</v>
      </c>
      <c r="C185" s="9" t="str">
        <f>IFERROR(__xludf.DUMMYFUNCTION("""COMPUTED_VALUE"""),"112*****cogsh.tp.edu.tw")</f>
        <v>112*****cogsh.tp.edu.tw</v>
      </c>
      <c r="D185" s="9" t="str">
        <f>IFERROR(__xludf.DUMMYFUNCTION("""COMPUTED_VALUE"""),"臺北市私立金甌女子高級中學")</f>
        <v>臺北市私立金甌女子高級中學</v>
      </c>
      <c r="E185" s="9" t="str">
        <f>IFERROR(__xludf.DUMMYFUNCTION("""COMPUTED_VALUE"""),"普通科")</f>
        <v>普通科</v>
      </c>
      <c r="F185" s="9" t="str">
        <f>IFERROR(__xludf.DUMMYFUNCTION("""COMPUTED_VALUE"""),"二年級")</f>
        <v>二年級</v>
      </c>
      <c r="G185" s="10" t="str">
        <f>IFERROR(__xludf.DUMMYFUNCTION("""COMPUTED_VALUE"""),"獎狀")</f>
        <v>獎狀</v>
      </c>
      <c r="H185" s="9"/>
    </row>
    <row r="186">
      <c r="A186" s="5" t="s">
        <v>9</v>
      </c>
      <c r="B186" s="9" t="str">
        <f>IFERROR(__xludf.DUMMYFUNCTION("""COMPUTED_VALUE"""),"陳O均")</f>
        <v>陳O均</v>
      </c>
      <c r="C186" s="9" t="str">
        <f>IFERROR(__xludf.DUMMYFUNCTION("""COMPUTED_VALUE"""),"112*****cogsh.tp.edu.tw")</f>
        <v>112*****cogsh.tp.edu.tw</v>
      </c>
      <c r="D186" s="9" t="str">
        <f>IFERROR(__xludf.DUMMYFUNCTION("""COMPUTED_VALUE"""),"臺北市私立金甌女子高級中學")</f>
        <v>臺北市私立金甌女子高級中學</v>
      </c>
      <c r="E186" s="9" t="str">
        <f>IFERROR(__xludf.DUMMYFUNCTION("""COMPUTED_VALUE"""),"普通科")</f>
        <v>普通科</v>
      </c>
      <c r="F186" s="9" t="str">
        <f>IFERROR(__xludf.DUMMYFUNCTION("""COMPUTED_VALUE"""),"二年級")</f>
        <v>二年級</v>
      </c>
      <c r="G186" s="10" t="str">
        <f>IFERROR(__xludf.DUMMYFUNCTION("""COMPUTED_VALUE"""),"獎狀")</f>
        <v>獎狀</v>
      </c>
      <c r="H186" s="9"/>
    </row>
    <row r="187">
      <c r="A187" s="5" t="s">
        <v>9</v>
      </c>
      <c r="B187" s="9" t="str">
        <f>IFERROR(__xludf.DUMMYFUNCTION("""COMPUTED_VALUE"""),"賴O妤")</f>
        <v>賴O妤</v>
      </c>
      <c r="C187" s="9" t="str">
        <f>IFERROR(__xludf.DUMMYFUNCTION("""COMPUTED_VALUE"""),"112*****cogsh.tp.edu.tw")</f>
        <v>112*****cogsh.tp.edu.tw</v>
      </c>
      <c r="D187" s="9" t="str">
        <f>IFERROR(__xludf.DUMMYFUNCTION("""COMPUTED_VALUE"""),"臺北市私立金甌女子高級中學")</f>
        <v>臺北市私立金甌女子高級中學</v>
      </c>
      <c r="E187" s="9" t="str">
        <f>IFERROR(__xludf.DUMMYFUNCTION("""COMPUTED_VALUE"""),"普通科")</f>
        <v>普通科</v>
      </c>
      <c r="F187" s="9" t="str">
        <f>IFERROR(__xludf.DUMMYFUNCTION("""COMPUTED_VALUE"""),"二年級")</f>
        <v>二年級</v>
      </c>
      <c r="G187" s="10" t="str">
        <f>IFERROR(__xludf.DUMMYFUNCTION("""COMPUTED_VALUE"""),"○商品卡$500")</f>
        <v>○商品卡$500</v>
      </c>
      <c r="H187" s="9"/>
    </row>
    <row r="188">
      <c r="A188" s="5" t="s">
        <v>9</v>
      </c>
      <c r="B188" s="9" t="str">
        <f>IFERROR(__xludf.DUMMYFUNCTION("""COMPUTED_VALUE"""),"吳O鉉")</f>
        <v>吳O鉉</v>
      </c>
      <c r="C188" s="9" t="str">
        <f>IFERROR(__xludf.DUMMYFUNCTION("""COMPUTED_VALUE"""),"112*****cogsh.tp.edu.tw")</f>
        <v>112*****cogsh.tp.edu.tw</v>
      </c>
      <c r="D188" s="9" t="str">
        <f>IFERROR(__xludf.DUMMYFUNCTION("""COMPUTED_VALUE"""),"臺北市私立金甌女子高級中學")</f>
        <v>臺北市私立金甌女子高級中學</v>
      </c>
      <c r="E188" s="9" t="str">
        <f>IFERROR(__xludf.DUMMYFUNCTION("""COMPUTED_VALUE"""),"普通科")</f>
        <v>普通科</v>
      </c>
      <c r="F188" s="9" t="str">
        <f>IFERROR(__xludf.DUMMYFUNCTION("""COMPUTED_VALUE"""),"二年級")</f>
        <v>二年級</v>
      </c>
      <c r="G188" s="10" t="str">
        <f>IFERROR(__xludf.DUMMYFUNCTION("""COMPUTED_VALUE"""),"獎狀")</f>
        <v>獎狀</v>
      </c>
      <c r="H188" s="9"/>
    </row>
    <row r="189">
      <c r="A189" s="5" t="s">
        <v>9</v>
      </c>
      <c r="B189" s="9" t="str">
        <f>IFERROR(__xludf.DUMMYFUNCTION("""COMPUTED_VALUE"""),"吳O綺")</f>
        <v>吳O綺</v>
      </c>
      <c r="C189" s="9" t="str">
        <f>IFERROR(__xludf.DUMMYFUNCTION("""COMPUTED_VALUE"""),"112*****cogsh.tp.edu.tw")</f>
        <v>112*****cogsh.tp.edu.tw</v>
      </c>
      <c r="D189" s="9" t="str">
        <f>IFERROR(__xludf.DUMMYFUNCTION("""COMPUTED_VALUE"""),"臺北市私立金甌女子高級中學")</f>
        <v>臺北市私立金甌女子高級中學</v>
      </c>
      <c r="E189" s="9" t="str">
        <f>IFERROR(__xludf.DUMMYFUNCTION("""COMPUTED_VALUE"""),"普通科")</f>
        <v>普通科</v>
      </c>
      <c r="F189" s="9" t="str">
        <f>IFERROR(__xludf.DUMMYFUNCTION("""COMPUTED_VALUE"""),"二年級")</f>
        <v>二年級</v>
      </c>
      <c r="G189" s="10" t="str">
        <f>IFERROR(__xludf.DUMMYFUNCTION("""COMPUTED_VALUE"""),"獎狀")</f>
        <v>獎狀</v>
      </c>
      <c r="H189" s="9"/>
    </row>
    <row r="190">
      <c r="A190" s="5" t="s">
        <v>9</v>
      </c>
      <c r="B190" s="9" t="str">
        <f>IFERROR(__xludf.DUMMYFUNCTION("""COMPUTED_VALUE"""),"李O芸")</f>
        <v>李O芸</v>
      </c>
      <c r="C190" s="9" t="str">
        <f>IFERROR(__xludf.DUMMYFUNCTION("""COMPUTED_VALUE"""),"112*****cogsh.tp.edu.tw")</f>
        <v>112*****cogsh.tp.edu.tw</v>
      </c>
      <c r="D190" s="9" t="str">
        <f>IFERROR(__xludf.DUMMYFUNCTION("""COMPUTED_VALUE"""),"臺北市私立金甌女子高級中學")</f>
        <v>臺北市私立金甌女子高級中學</v>
      </c>
      <c r="E190" s="9" t="str">
        <f>IFERROR(__xludf.DUMMYFUNCTION("""COMPUTED_VALUE"""),"普通科")</f>
        <v>普通科</v>
      </c>
      <c r="F190" s="9" t="str">
        <f>IFERROR(__xludf.DUMMYFUNCTION("""COMPUTED_VALUE"""),"二年級")</f>
        <v>二年級</v>
      </c>
      <c r="G190" s="10" t="str">
        <f>IFERROR(__xludf.DUMMYFUNCTION("""COMPUTED_VALUE"""),"獎狀")</f>
        <v>獎狀</v>
      </c>
      <c r="H190" s="9"/>
    </row>
    <row r="191">
      <c r="A191" s="5" t="s">
        <v>9</v>
      </c>
      <c r="B191" s="9" t="str">
        <f>IFERROR(__xludf.DUMMYFUNCTION("""COMPUTED_VALUE"""),"劉O姍")</f>
        <v>劉O姍</v>
      </c>
      <c r="C191" s="9" t="str">
        <f>IFERROR(__xludf.DUMMYFUNCTION("""COMPUTED_VALUE"""),"112*****cogsh.tp.edu.tw")</f>
        <v>112*****cogsh.tp.edu.tw</v>
      </c>
      <c r="D191" s="9" t="str">
        <f>IFERROR(__xludf.DUMMYFUNCTION("""COMPUTED_VALUE"""),"臺北市私立金甌女子高級中學")</f>
        <v>臺北市私立金甌女子高級中學</v>
      </c>
      <c r="E191" s="9" t="str">
        <f>IFERROR(__xludf.DUMMYFUNCTION("""COMPUTED_VALUE"""),"普通科")</f>
        <v>普通科</v>
      </c>
      <c r="F191" s="9" t="str">
        <f>IFERROR(__xludf.DUMMYFUNCTION("""COMPUTED_VALUE"""),"二年級")</f>
        <v>二年級</v>
      </c>
      <c r="G191" s="10" t="str">
        <f>IFERROR(__xludf.DUMMYFUNCTION("""COMPUTED_VALUE"""),"■商品卡$200")</f>
        <v>■商品卡$200</v>
      </c>
      <c r="H191" s="9"/>
    </row>
    <row r="192">
      <c r="A192" s="5" t="s">
        <v>9</v>
      </c>
      <c r="B192" s="9" t="str">
        <f>IFERROR(__xludf.DUMMYFUNCTION("""COMPUTED_VALUE"""),"陳O箴")</f>
        <v>陳O箴</v>
      </c>
      <c r="C192" s="9" t="str">
        <f>IFERROR(__xludf.DUMMYFUNCTION("""COMPUTED_VALUE"""),"112*****cogsh.tp.edu.tw")</f>
        <v>112*****cogsh.tp.edu.tw</v>
      </c>
      <c r="D192" s="9" t="str">
        <f>IFERROR(__xludf.DUMMYFUNCTION("""COMPUTED_VALUE"""),"臺北市私立金甌女子高級中學")</f>
        <v>臺北市私立金甌女子高級中學</v>
      </c>
      <c r="E192" s="9" t="str">
        <f>IFERROR(__xludf.DUMMYFUNCTION("""COMPUTED_VALUE"""),"普通科")</f>
        <v>普通科</v>
      </c>
      <c r="F192" s="9" t="str">
        <f>IFERROR(__xludf.DUMMYFUNCTION("""COMPUTED_VALUE"""),"二年級")</f>
        <v>二年級</v>
      </c>
      <c r="G192" s="10" t="str">
        <f>IFERROR(__xludf.DUMMYFUNCTION("""COMPUTED_VALUE"""),"獎狀")</f>
        <v>獎狀</v>
      </c>
      <c r="H192" s="9"/>
    </row>
    <row r="193">
      <c r="A193" s="5" t="s">
        <v>9</v>
      </c>
      <c r="B193" s="9" t="str">
        <f>IFERROR(__xludf.DUMMYFUNCTION("""COMPUTED_VALUE"""),"邢O涵")</f>
        <v>邢O涵</v>
      </c>
      <c r="C193" s="9" t="str">
        <f>IFERROR(__xludf.DUMMYFUNCTION("""COMPUTED_VALUE"""),"112*****cogsh.tp.edu.tw")</f>
        <v>112*****cogsh.tp.edu.tw</v>
      </c>
      <c r="D193" s="9" t="str">
        <f>IFERROR(__xludf.DUMMYFUNCTION("""COMPUTED_VALUE"""),"臺北市私立金甌女子高級中學")</f>
        <v>臺北市私立金甌女子高級中學</v>
      </c>
      <c r="E193" s="9" t="str">
        <f>IFERROR(__xludf.DUMMYFUNCTION("""COMPUTED_VALUE"""),"普通科")</f>
        <v>普通科</v>
      </c>
      <c r="F193" s="9" t="str">
        <f>IFERROR(__xludf.DUMMYFUNCTION("""COMPUTED_VALUE"""),"二年級")</f>
        <v>二年級</v>
      </c>
      <c r="G193" s="10" t="str">
        <f>IFERROR(__xludf.DUMMYFUNCTION("""COMPUTED_VALUE"""),"獎狀")</f>
        <v>獎狀</v>
      </c>
      <c r="H193" s="9"/>
    </row>
    <row r="194">
      <c r="A194" s="5" t="s">
        <v>9</v>
      </c>
      <c r="B194" s="9" t="str">
        <f>IFERROR(__xludf.DUMMYFUNCTION("""COMPUTED_VALUE"""),"梁O淇")</f>
        <v>梁O淇</v>
      </c>
      <c r="C194" s="9" t="str">
        <f>IFERROR(__xludf.DUMMYFUNCTION("""COMPUTED_VALUE"""),"112*****cogsh.tp.edu.tw")</f>
        <v>112*****cogsh.tp.edu.tw</v>
      </c>
      <c r="D194" s="9" t="str">
        <f>IFERROR(__xludf.DUMMYFUNCTION("""COMPUTED_VALUE"""),"臺北市私立金甌女子高級中學")</f>
        <v>臺北市私立金甌女子高級中學</v>
      </c>
      <c r="E194" s="9" t="str">
        <f>IFERROR(__xludf.DUMMYFUNCTION("""COMPUTED_VALUE"""),"普通科")</f>
        <v>普通科</v>
      </c>
      <c r="F194" s="9" t="str">
        <f>IFERROR(__xludf.DUMMYFUNCTION("""COMPUTED_VALUE"""),"二年級")</f>
        <v>二年級</v>
      </c>
      <c r="G194" s="10" t="str">
        <f>IFERROR(__xludf.DUMMYFUNCTION("""COMPUTED_VALUE"""),"獎狀")</f>
        <v>獎狀</v>
      </c>
      <c r="H194" s="9"/>
    </row>
    <row r="195">
      <c r="A195" s="5" t="s">
        <v>9</v>
      </c>
      <c r="B195" s="9" t="str">
        <f>IFERROR(__xludf.DUMMYFUNCTION("""COMPUTED_VALUE"""),"曹O惟")</f>
        <v>曹O惟</v>
      </c>
      <c r="C195" s="9" t="str">
        <f>IFERROR(__xludf.DUMMYFUNCTION("""COMPUTED_VALUE"""),"112*****cogsh.tp.edu.tw")</f>
        <v>112*****cogsh.tp.edu.tw</v>
      </c>
      <c r="D195" s="9" t="str">
        <f>IFERROR(__xludf.DUMMYFUNCTION("""COMPUTED_VALUE"""),"臺北市私立金甌女子高級中學")</f>
        <v>臺北市私立金甌女子高級中學</v>
      </c>
      <c r="E195" s="9" t="str">
        <f>IFERROR(__xludf.DUMMYFUNCTION("""COMPUTED_VALUE"""),"普通科")</f>
        <v>普通科</v>
      </c>
      <c r="F195" s="9" t="str">
        <f>IFERROR(__xludf.DUMMYFUNCTION("""COMPUTED_VALUE"""),"二年級")</f>
        <v>二年級</v>
      </c>
      <c r="G195" s="10" t="str">
        <f>IFERROR(__xludf.DUMMYFUNCTION("""COMPUTED_VALUE"""),"獎狀")</f>
        <v>獎狀</v>
      </c>
      <c r="H195" s="9"/>
    </row>
    <row r="196">
      <c r="A196" s="5" t="s">
        <v>9</v>
      </c>
      <c r="B196" s="9" t="str">
        <f>IFERROR(__xludf.DUMMYFUNCTION("""COMPUTED_VALUE"""),"陳O菉")</f>
        <v>陳O菉</v>
      </c>
      <c r="C196" s="9" t="str">
        <f>IFERROR(__xludf.DUMMYFUNCTION("""COMPUTED_VALUE"""),"112*****cogsh.tp.edu.tw")</f>
        <v>112*****cogsh.tp.edu.tw</v>
      </c>
      <c r="D196" s="9" t="str">
        <f>IFERROR(__xludf.DUMMYFUNCTION("""COMPUTED_VALUE"""),"臺北市私立金甌女子高級中學")</f>
        <v>臺北市私立金甌女子高級中學</v>
      </c>
      <c r="E196" s="9" t="str">
        <f>IFERROR(__xludf.DUMMYFUNCTION("""COMPUTED_VALUE"""),"普通科")</f>
        <v>普通科</v>
      </c>
      <c r="F196" s="9" t="str">
        <f>IFERROR(__xludf.DUMMYFUNCTION("""COMPUTED_VALUE"""),"二年級")</f>
        <v>二年級</v>
      </c>
      <c r="G196" s="10" t="str">
        <f>IFERROR(__xludf.DUMMYFUNCTION("""COMPUTED_VALUE"""),"獎狀")</f>
        <v>獎狀</v>
      </c>
      <c r="H196" s="9"/>
    </row>
    <row r="197">
      <c r="A197" s="5" t="s">
        <v>9</v>
      </c>
      <c r="B197" s="9" t="str">
        <f>IFERROR(__xludf.DUMMYFUNCTION("""COMPUTED_VALUE"""),"楊O昕")</f>
        <v>楊O昕</v>
      </c>
      <c r="C197" s="9" t="str">
        <f>IFERROR(__xludf.DUMMYFUNCTION("""COMPUTED_VALUE"""),"112*****cogsh.tp.edu.tw")</f>
        <v>112*****cogsh.tp.edu.tw</v>
      </c>
      <c r="D197" s="9" t="str">
        <f>IFERROR(__xludf.DUMMYFUNCTION("""COMPUTED_VALUE"""),"臺北市私立金甌女子高級中學")</f>
        <v>臺北市私立金甌女子高級中學</v>
      </c>
      <c r="E197" s="9" t="str">
        <f>IFERROR(__xludf.DUMMYFUNCTION("""COMPUTED_VALUE"""),"普通科")</f>
        <v>普通科</v>
      </c>
      <c r="F197" s="9" t="str">
        <f>IFERROR(__xludf.DUMMYFUNCTION("""COMPUTED_VALUE"""),"二年級")</f>
        <v>二年級</v>
      </c>
      <c r="G197" s="10" t="str">
        <f>IFERROR(__xludf.DUMMYFUNCTION("""COMPUTED_VALUE"""),"獎狀")</f>
        <v>獎狀</v>
      </c>
      <c r="H197" s="9"/>
    </row>
    <row r="198">
      <c r="A198" s="5" t="s">
        <v>9</v>
      </c>
      <c r="B198" s="9" t="str">
        <f>IFERROR(__xludf.DUMMYFUNCTION("""COMPUTED_VALUE"""),"紀O彤")</f>
        <v>紀O彤</v>
      </c>
      <c r="C198" s="9" t="str">
        <f>IFERROR(__xludf.DUMMYFUNCTION("""COMPUTED_VALUE"""),"112*****cogsh.tp.edu.tw")</f>
        <v>112*****cogsh.tp.edu.tw</v>
      </c>
      <c r="D198" s="9" t="str">
        <f>IFERROR(__xludf.DUMMYFUNCTION("""COMPUTED_VALUE"""),"臺北市私立金甌女子高級中學")</f>
        <v>臺北市私立金甌女子高級中學</v>
      </c>
      <c r="E198" s="9" t="str">
        <f>IFERROR(__xludf.DUMMYFUNCTION("""COMPUTED_VALUE"""),"普通科")</f>
        <v>普通科</v>
      </c>
      <c r="F198" s="9" t="str">
        <f>IFERROR(__xludf.DUMMYFUNCTION("""COMPUTED_VALUE"""),"二年級")</f>
        <v>二年級</v>
      </c>
      <c r="G198" s="10" t="str">
        <f>IFERROR(__xludf.DUMMYFUNCTION("""COMPUTED_VALUE"""),"獎狀")</f>
        <v>獎狀</v>
      </c>
      <c r="H198" s="9"/>
    </row>
    <row r="199">
      <c r="A199" s="5" t="s">
        <v>9</v>
      </c>
      <c r="B199" s="9" t="str">
        <f>IFERROR(__xludf.DUMMYFUNCTION("""COMPUTED_VALUE"""),"蘇O嵐")</f>
        <v>蘇O嵐</v>
      </c>
      <c r="C199" s="9" t="str">
        <f>IFERROR(__xludf.DUMMYFUNCTION("""COMPUTED_VALUE"""),"112*****cogsh.tp.edu.tw")</f>
        <v>112*****cogsh.tp.edu.tw</v>
      </c>
      <c r="D199" s="9" t="str">
        <f>IFERROR(__xludf.DUMMYFUNCTION("""COMPUTED_VALUE"""),"臺北市私立金甌女子高級中學")</f>
        <v>臺北市私立金甌女子高級中學</v>
      </c>
      <c r="E199" s="9" t="str">
        <f>IFERROR(__xludf.DUMMYFUNCTION("""COMPUTED_VALUE"""),"普通科")</f>
        <v>普通科</v>
      </c>
      <c r="F199" s="9" t="str">
        <f>IFERROR(__xludf.DUMMYFUNCTION("""COMPUTED_VALUE"""),"二年級")</f>
        <v>二年級</v>
      </c>
      <c r="G199" s="10" t="str">
        <f>IFERROR(__xludf.DUMMYFUNCTION("""COMPUTED_VALUE"""),"獎狀")</f>
        <v>獎狀</v>
      </c>
      <c r="H199" s="9"/>
    </row>
    <row r="200">
      <c r="A200" s="5" t="s">
        <v>9</v>
      </c>
      <c r="B200" s="9" t="str">
        <f>IFERROR(__xludf.DUMMYFUNCTION("""COMPUTED_VALUE"""),"鍾O喬")</f>
        <v>鍾O喬</v>
      </c>
      <c r="C200" s="9" t="str">
        <f>IFERROR(__xludf.DUMMYFUNCTION("""COMPUTED_VALUE"""),"112*****cogsh.tp.edu.tw")</f>
        <v>112*****cogsh.tp.edu.tw</v>
      </c>
      <c r="D200" s="9" t="str">
        <f>IFERROR(__xludf.DUMMYFUNCTION("""COMPUTED_VALUE"""),"臺北市私立金甌女子高級中學")</f>
        <v>臺北市私立金甌女子高級中學</v>
      </c>
      <c r="E200" s="9" t="str">
        <f>IFERROR(__xludf.DUMMYFUNCTION("""COMPUTED_VALUE"""),"普通科")</f>
        <v>普通科</v>
      </c>
      <c r="F200" s="9" t="str">
        <f>IFERROR(__xludf.DUMMYFUNCTION("""COMPUTED_VALUE"""),"二年級")</f>
        <v>二年級</v>
      </c>
      <c r="G200" s="10" t="str">
        <f>IFERROR(__xludf.DUMMYFUNCTION("""COMPUTED_VALUE"""),"獎狀")</f>
        <v>獎狀</v>
      </c>
      <c r="H200" s="9"/>
    </row>
    <row r="201">
      <c r="A201" s="5" t="s">
        <v>9</v>
      </c>
      <c r="B201" s="9" t="str">
        <f>IFERROR(__xludf.DUMMYFUNCTION("""COMPUTED_VALUE"""),"謝O彤")</f>
        <v>謝O彤</v>
      </c>
      <c r="C201" s="9" t="str">
        <f>IFERROR(__xludf.DUMMYFUNCTION("""COMPUTED_VALUE"""),"112*****cogsh.tp.edu.tw")</f>
        <v>112*****cogsh.tp.edu.tw</v>
      </c>
      <c r="D201" s="9" t="str">
        <f>IFERROR(__xludf.DUMMYFUNCTION("""COMPUTED_VALUE"""),"臺北市私立金甌女子高級中學")</f>
        <v>臺北市私立金甌女子高級中學</v>
      </c>
      <c r="E201" s="9" t="str">
        <f>IFERROR(__xludf.DUMMYFUNCTION("""COMPUTED_VALUE"""),"普通科")</f>
        <v>普通科</v>
      </c>
      <c r="F201" s="9" t="str">
        <f>IFERROR(__xludf.DUMMYFUNCTION("""COMPUTED_VALUE"""),"二年級")</f>
        <v>二年級</v>
      </c>
      <c r="G201" s="10" t="str">
        <f>IFERROR(__xludf.DUMMYFUNCTION("""COMPUTED_VALUE"""),"獎狀")</f>
        <v>獎狀</v>
      </c>
      <c r="H201" s="9"/>
    </row>
    <row r="202">
      <c r="A202" s="5" t="s">
        <v>9</v>
      </c>
      <c r="B202" s="9" t="str">
        <f>IFERROR(__xludf.DUMMYFUNCTION("""COMPUTED_VALUE"""),"鄺O歆")</f>
        <v>鄺O歆</v>
      </c>
      <c r="C202" s="9" t="str">
        <f>IFERROR(__xludf.DUMMYFUNCTION("""COMPUTED_VALUE"""),"112*****cogsh.tp.edu.tw")</f>
        <v>112*****cogsh.tp.edu.tw</v>
      </c>
      <c r="D202" s="9" t="str">
        <f>IFERROR(__xludf.DUMMYFUNCTION("""COMPUTED_VALUE"""),"臺北市私立金甌女子高級中學")</f>
        <v>臺北市私立金甌女子高級中學</v>
      </c>
      <c r="E202" s="9" t="str">
        <f>IFERROR(__xludf.DUMMYFUNCTION("""COMPUTED_VALUE"""),"普通科")</f>
        <v>普通科</v>
      </c>
      <c r="F202" s="9" t="str">
        <f>IFERROR(__xludf.DUMMYFUNCTION("""COMPUTED_VALUE"""),"二年級")</f>
        <v>二年級</v>
      </c>
      <c r="G202" s="10" t="str">
        <f>IFERROR(__xludf.DUMMYFUNCTION("""COMPUTED_VALUE"""),"獎狀")</f>
        <v>獎狀</v>
      </c>
      <c r="H202" s="9"/>
    </row>
    <row r="203">
      <c r="A203" s="5" t="s">
        <v>9</v>
      </c>
      <c r="B203" s="9" t="str">
        <f>IFERROR(__xludf.DUMMYFUNCTION("""COMPUTED_VALUE"""),"巫O妤")</f>
        <v>巫O妤</v>
      </c>
      <c r="C203" s="9" t="str">
        <f>IFERROR(__xludf.DUMMYFUNCTION("""COMPUTED_VALUE"""),"112*****cogsh.tp.edu.tw")</f>
        <v>112*****cogsh.tp.edu.tw</v>
      </c>
      <c r="D203" s="9" t="str">
        <f>IFERROR(__xludf.DUMMYFUNCTION("""COMPUTED_VALUE"""),"臺北市私立金甌女子高級中學")</f>
        <v>臺北市私立金甌女子高級中學</v>
      </c>
      <c r="E203" s="9" t="str">
        <f>IFERROR(__xludf.DUMMYFUNCTION("""COMPUTED_VALUE"""),"普通科")</f>
        <v>普通科</v>
      </c>
      <c r="F203" s="9" t="str">
        <f>IFERROR(__xludf.DUMMYFUNCTION("""COMPUTED_VALUE"""),"二年級")</f>
        <v>二年級</v>
      </c>
      <c r="G203" s="10" t="str">
        <f>IFERROR(__xludf.DUMMYFUNCTION("""COMPUTED_VALUE"""),"獎狀")</f>
        <v>獎狀</v>
      </c>
      <c r="H203" s="9"/>
    </row>
    <row r="204">
      <c r="A204" s="5" t="s">
        <v>9</v>
      </c>
      <c r="B204" s="9" t="str">
        <f>IFERROR(__xludf.DUMMYFUNCTION("""COMPUTED_VALUE"""),"林O廷")</f>
        <v>林O廷</v>
      </c>
      <c r="C204" s="9" t="str">
        <f>IFERROR(__xludf.DUMMYFUNCTION("""COMPUTED_VALUE"""),"112*****cogsh.tp.edu.tw")</f>
        <v>112*****cogsh.tp.edu.tw</v>
      </c>
      <c r="D204" s="9" t="str">
        <f>IFERROR(__xludf.DUMMYFUNCTION("""COMPUTED_VALUE"""),"臺北市私立金甌女子高級中學")</f>
        <v>臺北市私立金甌女子高級中學</v>
      </c>
      <c r="E204" s="9" t="str">
        <f>IFERROR(__xludf.DUMMYFUNCTION("""COMPUTED_VALUE"""),"普通科")</f>
        <v>普通科</v>
      </c>
      <c r="F204" s="9" t="str">
        <f>IFERROR(__xludf.DUMMYFUNCTION("""COMPUTED_VALUE"""),"二年級")</f>
        <v>二年級</v>
      </c>
      <c r="G204" s="10" t="str">
        <f>IFERROR(__xludf.DUMMYFUNCTION("""COMPUTED_VALUE"""),"獎狀")</f>
        <v>獎狀</v>
      </c>
      <c r="H204" s="9"/>
    </row>
    <row r="205">
      <c r="A205" s="5" t="s">
        <v>9</v>
      </c>
      <c r="B205" s="9" t="str">
        <f>IFERROR(__xludf.DUMMYFUNCTION("""COMPUTED_VALUE"""),"侯O蓁")</f>
        <v>侯O蓁</v>
      </c>
      <c r="C205" s="9" t="str">
        <f>IFERROR(__xludf.DUMMYFUNCTION("""COMPUTED_VALUE"""),"112*****cogsh.tp.edu.tw")</f>
        <v>112*****cogsh.tp.edu.tw</v>
      </c>
      <c r="D205" s="9" t="str">
        <f>IFERROR(__xludf.DUMMYFUNCTION("""COMPUTED_VALUE"""),"臺北市私立金甌女子高級中學")</f>
        <v>臺北市私立金甌女子高級中學</v>
      </c>
      <c r="E205" s="9" t="str">
        <f>IFERROR(__xludf.DUMMYFUNCTION("""COMPUTED_VALUE"""),"普通科")</f>
        <v>普通科</v>
      </c>
      <c r="F205" s="9" t="str">
        <f>IFERROR(__xludf.DUMMYFUNCTION("""COMPUTED_VALUE"""),"二年級")</f>
        <v>二年級</v>
      </c>
      <c r="G205" s="10" t="str">
        <f>IFERROR(__xludf.DUMMYFUNCTION("""COMPUTED_VALUE"""),"獎狀")</f>
        <v>獎狀</v>
      </c>
      <c r="H205" s="9"/>
    </row>
    <row r="206">
      <c r="A206" s="5" t="s">
        <v>9</v>
      </c>
      <c r="B206" s="9" t="str">
        <f>IFERROR(__xludf.DUMMYFUNCTION("""COMPUTED_VALUE"""),"黃O綺")</f>
        <v>黃O綺</v>
      </c>
      <c r="C206" s="9" t="str">
        <f>IFERROR(__xludf.DUMMYFUNCTION("""COMPUTED_VALUE"""),"112*****cogsh.tp.edu.tw")</f>
        <v>112*****cogsh.tp.edu.tw</v>
      </c>
      <c r="D206" s="9" t="str">
        <f>IFERROR(__xludf.DUMMYFUNCTION("""COMPUTED_VALUE"""),"臺北市私立金甌女子高級中學")</f>
        <v>臺北市私立金甌女子高級中學</v>
      </c>
      <c r="E206" s="9" t="str">
        <f>IFERROR(__xludf.DUMMYFUNCTION("""COMPUTED_VALUE"""),"普通科")</f>
        <v>普通科</v>
      </c>
      <c r="F206" s="9" t="str">
        <f>IFERROR(__xludf.DUMMYFUNCTION("""COMPUTED_VALUE"""),"二年級")</f>
        <v>二年級</v>
      </c>
      <c r="G206" s="10" t="str">
        <f>IFERROR(__xludf.DUMMYFUNCTION("""COMPUTED_VALUE"""),"獎狀")</f>
        <v>獎狀</v>
      </c>
      <c r="H206" s="9"/>
    </row>
    <row r="207">
      <c r="A207" s="5" t="s">
        <v>9</v>
      </c>
      <c r="B207" s="9" t="str">
        <f>IFERROR(__xludf.DUMMYFUNCTION("""COMPUTED_VALUE"""),"謝O萱")</f>
        <v>謝O萱</v>
      </c>
      <c r="C207" s="9" t="str">
        <f>IFERROR(__xludf.DUMMYFUNCTION("""COMPUTED_VALUE"""),"112*****cogsh.tp.edu.tw")</f>
        <v>112*****cogsh.tp.edu.tw</v>
      </c>
      <c r="D207" s="9" t="str">
        <f>IFERROR(__xludf.DUMMYFUNCTION("""COMPUTED_VALUE"""),"臺北市私立金甌女子高級中學")</f>
        <v>臺北市私立金甌女子高級中學</v>
      </c>
      <c r="E207" s="9" t="str">
        <f>IFERROR(__xludf.DUMMYFUNCTION("""COMPUTED_VALUE"""),"普通科")</f>
        <v>普通科</v>
      </c>
      <c r="F207" s="9" t="str">
        <f>IFERROR(__xludf.DUMMYFUNCTION("""COMPUTED_VALUE"""),"二年級")</f>
        <v>二年級</v>
      </c>
      <c r="G207" s="10" t="str">
        <f>IFERROR(__xludf.DUMMYFUNCTION("""COMPUTED_VALUE"""),"獎狀")</f>
        <v>獎狀</v>
      </c>
      <c r="H207" s="9"/>
    </row>
    <row r="208">
      <c r="A208" s="5" t="s">
        <v>9</v>
      </c>
      <c r="B208" s="9" t="str">
        <f>IFERROR(__xludf.DUMMYFUNCTION("""COMPUTED_VALUE"""),"葉O妤")</f>
        <v>葉O妤</v>
      </c>
      <c r="C208" s="9" t="str">
        <f>IFERROR(__xludf.DUMMYFUNCTION("""COMPUTED_VALUE"""),"112*****cogsh.tp.edu.tw")</f>
        <v>112*****cogsh.tp.edu.tw</v>
      </c>
      <c r="D208" s="9" t="str">
        <f>IFERROR(__xludf.DUMMYFUNCTION("""COMPUTED_VALUE"""),"臺北市私立金甌女子高級中學")</f>
        <v>臺北市私立金甌女子高級中學</v>
      </c>
      <c r="E208" s="9" t="str">
        <f>IFERROR(__xludf.DUMMYFUNCTION("""COMPUTED_VALUE"""),"普通科")</f>
        <v>普通科</v>
      </c>
      <c r="F208" s="9" t="str">
        <f>IFERROR(__xludf.DUMMYFUNCTION("""COMPUTED_VALUE"""),"二年級")</f>
        <v>二年級</v>
      </c>
      <c r="G208" s="10" t="str">
        <f>IFERROR(__xludf.DUMMYFUNCTION("""COMPUTED_VALUE"""),"獎狀")</f>
        <v>獎狀</v>
      </c>
      <c r="H208" s="9"/>
    </row>
    <row r="209">
      <c r="A209" s="5" t="s">
        <v>9</v>
      </c>
      <c r="B209" s="9" t="str">
        <f>IFERROR(__xludf.DUMMYFUNCTION("""COMPUTED_VALUE"""),"李O珊")</f>
        <v>李O珊</v>
      </c>
      <c r="C209" s="9" t="str">
        <f>IFERROR(__xludf.DUMMYFUNCTION("""COMPUTED_VALUE"""),"112*****cogsh.tp.edu.tw")</f>
        <v>112*****cogsh.tp.edu.tw</v>
      </c>
      <c r="D209" s="9" t="str">
        <f>IFERROR(__xludf.DUMMYFUNCTION("""COMPUTED_VALUE"""),"臺北市私立金甌女子高級中學")</f>
        <v>臺北市私立金甌女子高級中學</v>
      </c>
      <c r="E209" s="9" t="str">
        <f>IFERROR(__xludf.DUMMYFUNCTION("""COMPUTED_VALUE"""),"普通科")</f>
        <v>普通科</v>
      </c>
      <c r="F209" s="9" t="str">
        <f>IFERROR(__xludf.DUMMYFUNCTION("""COMPUTED_VALUE"""),"二年級")</f>
        <v>二年級</v>
      </c>
      <c r="G209" s="10" t="str">
        <f>IFERROR(__xludf.DUMMYFUNCTION("""COMPUTED_VALUE"""),"獎狀")</f>
        <v>獎狀</v>
      </c>
      <c r="H209" s="9"/>
    </row>
    <row r="210">
      <c r="A210" s="5" t="s">
        <v>9</v>
      </c>
      <c r="B210" s="9" t="str">
        <f>IFERROR(__xludf.DUMMYFUNCTION("""COMPUTED_VALUE"""),"陳O君")</f>
        <v>陳O君</v>
      </c>
      <c r="C210" s="9" t="str">
        <f>IFERROR(__xludf.DUMMYFUNCTION("""COMPUTED_VALUE"""),"112*****cogsh.tp.edu.tw")</f>
        <v>112*****cogsh.tp.edu.tw</v>
      </c>
      <c r="D210" s="9" t="str">
        <f>IFERROR(__xludf.DUMMYFUNCTION("""COMPUTED_VALUE"""),"臺北市私立金甌女子高級中學")</f>
        <v>臺北市私立金甌女子高級中學</v>
      </c>
      <c r="E210" s="9" t="str">
        <f>IFERROR(__xludf.DUMMYFUNCTION("""COMPUTED_VALUE"""),"普通科")</f>
        <v>普通科</v>
      </c>
      <c r="F210" s="9" t="str">
        <f>IFERROR(__xludf.DUMMYFUNCTION("""COMPUTED_VALUE"""),"三年級")</f>
        <v>三年級</v>
      </c>
      <c r="G210" s="10" t="str">
        <f>IFERROR(__xludf.DUMMYFUNCTION("""COMPUTED_VALUE"""),"■商品卡$200")</f>
        <v>■商品卡$200</v>
      </c>
      <c r="H210" s="9"/>
    </row>
    <row r="211">
      <c r="A211" s="5" t="s">
        <v>9</v>
      </c>
      <c r="B211" s="9" t="str">
        <f>IFERROR(__xludf.DUMMYFUNCTION("""COMPUTED_VALUE"""),"盧O葳")</f>
        <v>盧O葳</v>
      </c>
      <c r="C211" s="9" t="str">
        <f>IFERROR(__xludf.DUMMYFUNCTION("""COMPUTED_VALUE"""),"112*****cogsh.tp.edu.tw")</f>
        <v>112*****cogsh.tp.edu.tw</v>
      </c>
      <c r="D211" s="9" t="str">
        <f>IFERROR(__xludf.DUMMYFUNCTION("""COMPUTED_VALUE"""),"臺北市私立金甌女子高級中學")</f>
        <v>臺北市私立金甌女子高級中學</v>
      </c>
      <c r="E211" s="9" t="str">
        <f>IFERROR(__xludf.DUMMYFUNCTION("""COMPUTED_VALUE"""),"普通科")</f>
        <v>普通科</v>
      </c>
      <c r="F211" s="9" t="str">
        <f>IFERROR(__xludf.DUMMYFUNCTION("""COMPUTED_VALUE"""),"三年級")</f>
        <v>三年級</v>
      </c>
      <c r="G211" s="10" t="str">
        <f>IFERROR(__xludf.DUMMYFUNCTION("""COMPUTED_VALUE"""),"獎狀")</f>
        <v>獎狀</v>
      </c>
      <c r="H211" s="9"/>
    </row>
    <row r="212">
      <c r="A212" s="5" t="s">
        <v>9</v>
      </c>
      <c r="B212" s="9" t="str">
        <f>IFERROR(__xludf.DUMMYFUNCTION("""COMPUTED_VALUE"""),"蔣O霖")</f>
        <v>蔣O霖</v>
      </c>
      <c r="C212" s="9" t="str">
        <f>IFERROR(__xludf.DUMMYFUNCTION("""COMPUTED_VALUE"""),"112*****cogsh.tp.edu.tw")</f>
        <v>112*****cogsh.tp.edu.tw</v>
      </c>
      <c r="D212" s="9" t="str">
        <f>IFERROR(__xludf.DUMMYFUNCTION("""COMPUTED_VALUE"""),"臺北市私立金甌女子高級中學")</f>
        <v>臺北市私立金甌女子高級中學</v>
      </c>
      <c r="E212" s="9" t="str">
        <f>IFERROR(__xludf.DUMMYFUNCTION("""COMPUTED_VALUE"""),"普通科")</f>
        <v>普通科</v>
      </c>
      <c r="F212" s="9" t="str">
        <f>IFERROR(__xludf.DUMMYFUNCTION("""COMPUTED_VALUE"""),"三年級")</f>
        <v>三年級</v>
      </c>
      <c r="G212" s="10" t="str">
        <f>IFERROR(__xludf.DUMMYFUNCTION("""COMPUTED_VALUE"""),"獎狀")</f>
        <v>獎狀</v>
      </c>
      <c r="H212" s="9"/>
    </row>
    <row r="213">
      <c r="A213" s="5" t="s">
        <v>9</v>
      </c>
      <c r="B213" s="9" t="str">
        <f>IFERROR(__xludf.DUMMYFUNCTION("""COMPUTED_VALUE"""),"邱O綺")</f>
        <v>邱O綺</v>
      </c>
      <c r="C213" s="9" t="str">
        <f>IFERROR(__xludf.DUMMYFUNCTION("""COMPUTED_VALUE"""),"112*****cogsh.tp.edu.tw")</f>
        <v>112*****cogsh.tp.edu.tw</v>
      </c>
      <c r="D213" s="9" t="str">
        <f>IFERROR(__xludf.DUMMYFUNCTION("""COMPUTED_VALUE"""),"臺北市私立金甌女子高級中學")</f>
        <v>臺北市私立金甌女子高級中學</v>
      </c>
      <c r="E213" s="9" t="str">
        <f>IFERROR(__xludf.DUMMYFUNCTION("""COMPUTED_VALUE"""),"普通科")</f>
        <v>普通科</v>
      </c>
      <c r="F213" s="9" t="str">
        <f>IFERROR(__xludf.DUMMYFUNCTION("""COMPUTED_VALUE"""),"三年級")</f>
        <v>三年級</v>
      </c>
      <c r="G213" s="10" t="str">
        <f>IFERROR(__xludf.DUMMYFUNCTION("""COMPUTED_VALUE"""),"獎狀")</f>
        <v>獎狀</v>
      </c>
      <c r="H213" s="9"/>
    </row>
    <row r="214">
      <c r="A214" s="5" t="s">
        <v>9</v>
      </c>
      <c r="B214" s="9" t="str">
        <f>IFERROR(__xludf.DUMMYFUNCTION("""COMPUTED_VALUE"""),"蔡O瑄")</f>
        <v>蔡O瑄</v>
      </c>
      <c r="C214" s="9" t="str">
        <f>IFERROR(__xludf.DUMMYFUNCTION("""COMPUTED_VALUE"""),"112*****cogsh.tp.edu.tw")</f>
        <v>112*****cogsh.tp.edu.tw</v>
      </c>
      <c r="D214" s="9" t="str">
        <f>IFERROR(__xludf.DUMMYFUNCTION("""COMPUTED_VALUE"""),"臺北市私立金甌女子高級中學")</f>
        <v>臺北市私立金甌女子高級中學</v>
      </c>
      <c r="E214" s="9" t="str">
        <f>IFERROR(__xludf.DUMMYFUNCTION("""COMPUTED_VALUE"""),"普通科")</f>
        <v>普通科</v>
      </c>
      <c r="F214" s="9" t="str">
        <f>IFERROR(__xludf.DUMMYFUNCTION("""COMPUTED_VALUE"""),"三年級")</f>
        <v>三年級</v>
      </c>
      <c r="G214" s="10" t="str">
        <f>IFERROR(__xludf.DUMMYFUNCTION("""COMPUTED_VALUE"""),"獎狀")</f>
        <v>獎狀</v>
      </c>
      <c r="H214" s="9"/>
    </row>
    <row r="215">
      <c r="A215" s="5" t="s">
        <v>9</v>
      </c>
      <c r="B215" s="9" t="str">
        <f>IFERROR(__xludf.DUMMYFUNCTION("""COMPUTED_VALUE"""),"林O容")</f>
        <v>林O容</v>
      </c>
      <c r="C215" s="9" t="str">
        <f>IFERROR(__xludf.DUMMYFUNCTION("""COMPUTED_VALUE"""),"112*****cogsh.tp.edu.tw")</f>
        <v>112*****cogsh.tp.edu.tw</v>
      </c>
      <c r="D215" s="9" t="str">
        <f>IFERROR(__xludf.DUMMYFUNCTION("""COMPUTED_VALUE"""),"臺北市私立金甌女子高級中學")</f>
        <v>臺北市私立金甌女子高級中學</v>
      </c>
      <c r="E215" s="9" t="str">
        <f>IFERROR(__xludf.DUMMYFUNCTION("""COMPUTED_VALUE"""),"普通科")</f>
        <v>普通科</v>
      </c>
      <c r="F215" s="9" t="str">
        <f>IFERROR(__xludf.DUMMYFUNCTION("""COMPUTED_VALUE"""),"三年級")</f>
        <v>三年級</v>
      </c>
      <c r="G215" s="10" t="str">
        <f>IFERROR(__xludf.DUMMYFUNCTION("""COMPUTED_VALUE"""),"獎狀")</f>
        <v>獎狀</v>
      </c>
      <c r="H215" s="9"/>
    </row>
    <row r="216">
      <c r="A216" s="5" t="s">
        <v>9</v>
      </c>
      <c r="B216" s="9" t="str">
        <f>IFERROR(__xludf.DUMMYFUNCTION("""COMPUTED_VALUE"""),"陳O璇")</f>
        <v>陳O璇</v>
      </c>
      <c r="C216" s="9" t="str">
        <f>IFERROR(__xludf.DUMMYFUNCTION("""COMPUTED_VALUE"""),"112*****cogsh.tp.edu.tw")</f>
        <v>112*****cogsh.tp.edu.tw</v>
      </c>
      <c r="D216" s="9" t="str">
        <f>IFERROR(__xludf.DUMMYFUNCTION("""COMPUTED_VALUE"""),"臺北市私立金甌女子高級中學")</f>
        <v>臺北市私立金甌女子高級中學</v>
      </c>
      <c r="E216" s="9" t="str">
        <f>IFERROR(__xludf.DUMMYFUNCTION("""COMPUTED_VALUE"""),"普通科")</f>
        <v>普通科</v>
      </c>
      <c r="F216" s="9" t="str">
        <f>IFERROR(__xludf.DUMMYFUNCTION("""COMPUTED_VALUE"""),"三年級")</f>
        <v>三年級</v>
      </c>
      <c r="G216" s="10" t="str">
        <f>IFERROR(__xludf.DUMMYFUNCTION("""COMPUTED_VALUE"""),"○商品卡$500")</f>
        <v>○商品卡$500</v>
      </c>
      <c r="H216" s="9"/>
    </row>
    <row r="217">
      <c r="A217" s="5" t="s">
        <v>9</v>
      </c>
      <c r="B217" s="9" t="str">
        <f>IFERROR(__xludf.DUMMYFUNCTION("""COMPUTED_VALUE"""),"姜O帆")</f>
        <v>姜O帆</v>
      </c>
      <c r="C217" s="9" t="str">
        <f>IFERROR(__xludf.DUMMYFUNCTION("""COMPUTED_VALUE"""),"112*****cogsh.tp.edu.tw")</f>
        <v>112*****cogsh.tp.edu.tw</v>
      </c>
      <c r="D217" s="9" t="str">
        <f>IFERROR(__xludf.DUMMYFUNCTION("""COMPUTED_VALUE"""),"臺北市私立金甌女子高級中學")</f>
        <v>臺北市私立金甌女子高級中學</v>
      </c>
      <c r="E217" s="9" t="str">
        <f>IFERROR(__xludf.DUMMYFUNCTION("""COMPUTED_VALUE"""),"普通科")</f>
        <v>普通科</v>
      </c>
      <c r="F217" s="9" t="str">
        <f>IFERROR(__xludf.DUMMYFUNCTION("""COMPUTED_VALUE"""),"三年級")</f>
        <v>三年級</v>
      </c>
      <c r="G217" s="10" t="str">
        <f>IFERROR(__xludf.DUMMYFUNCTION("""COMPUTED_VALUE"""),"獎狀")</f>
        <v>獎狀</v>
      </c>
      <c r="H217" s="9"/>
    </row>
    <row r="218">
      <c r="A218" s="5" t="s">
        <v>9</v>
      </c>
      <c r="B218" s="9" t="str">
        <f>IFERROR(__xludf.DUMMYFUNCTION("""COMPUTED_VALUE"""),"陳O貞")</f>
        <v>陳O貞</v>
      </c>
      <c r="C218" s="9" t="str">
        <f>IFERROR(__xludf.DUMMYFUNCTION("""COMPUTED_VALUE"""),"112*****cogsh.tp.edu.tw")</f>
        <v>112*****cogsh.tp.edu.tw</v>
      </c>
      <c r="D218" s="9" t="str">
        <f>IFERROR(__xludf.DUMMYFUNCTION("""COMPUTED_VALUE"""),"臺北市私立金甌女子高級中學")</f>
        <v>臺北市私立金甌女子高級中學</v>
      </c>
      <c r="E218" s="9" t="str">
        <f>IFERROR(__xludf.DUMMYFUNCTION("""COMPUTED_VALUE"""),"普通科")</f>
        <v>普通科</v>
      </c>
      <c r="F218" s="9" t="str">
        <f>IFERROR(__xludf.DUMMYFUNCTION("""COMPUTED_VALUE"""),"三年級")</f>
        <v>三年級</v>
      </c>
      <c r="G218" s="10" t="str">
        <f>IFERROR(__xludf.DUMMYFUNCTION("""COMPUTED_VALUE"""),"獎狀")</f>
        <v>獎狀</v>
      </c>
      <c r="H218" s="9"/>
    </row>
    <row r="219">
      <c r="A219" s="5" t="s">
        <v>9</v>
      </c>
      <c r="B219" s="9" t="str">
        <f>IFERROR(__xludf.DUMMYFUNCTION("""COMPUTED_VALUE"""),"郭O霏")</f>
        <v>郭O霏</v>
      </c>
      <c r="C219" s="9" t="str">
        <f>IFERROR(__xludf.DUMMYFUNCTION("""COMPUTED_VALUE"""),"112*****cogsh.tp.edu.tw")</f>
        <v>112*****cogsh.tp.edu.tw</v>
      </c>
      <c r="D219" s="9" t="str">
        <f>IFERROR(__xludf.DUMMYFUNCTION("""COMPUTED_VALUE"""),"臺北市私立金甌女子高級中學")</f>
        <v>臺北市私立金甌女子高級中學</v>
      </c>
      <c r="E219" s="9" t="str">
        <f>IFERROR(__xludf.DUMMYFUNCTION("""COMPUTED_VALUE"""),"普通科")</f>
        <v>普通科</v>
      </c>
      <c r="F219" s="9" t="str">
        <f>IFERROR(__xludf.DUMMYFUNCTION("""COMPUTED_VALUE"""),"三年級")</f>
        <v>三年級</v>
      </c>
      <c r="G219" s="10" t="str">
        <f>IFERROR(__xludf.DUMMYFUNCTION("""COMPUTED_VALUE"""),"獎狀")</f>
        <v>獎狀</v>
      </c>
      <c r="H219" s="9"/>
    </row>
    <row r="220">
      <c r="A220" s="5" t="s">
        <v>9</v>
      </c>
      <c r="B220" s="9" t="str">
        <f>IFERROR(__xludf.DUMMYFUNCTION("""COMPUTED_VALUE"""),"李O佳")</f>
        <v>李O佳</v>
      </c>
      <c r="C220" s="9" t="str">
        <f>IFERROR(__xludf.DUMMYFUNCTION("""COMPUTED_VALUE"""),"112*****cogsh.tp.edu.tw")</f>
        <v>112*****cogsh.tp.edu.tw</v>
      </c>
      <c r="D220" s="9" t="str">
        <f>IFERROR(__xludf.DUMMYFUNCTION("""COMPUTED_VALUE"""),"臺北市私立金甌女子高級中學")</f>
        <v>臺北市私立金甌女子高級中學</v>
      </c>
      <c r="E220" s="9" t="str">
        <f>IFERROR(__xludf.DUMMYFUNCTION("""COMPUTED_VALUE"""),"普通科")</f>
        <v>普通科</v>
      </c>
      <c r="F220" s="9" t="str">
        <f>IFERROR(__xludf.DUMMYFUNCTION("""COMPUTED_VALUE"""),"三年級")</f>
        <v>三年級</v>
      </c>
      <c r="G220" s="10" t="str">
        <f>IFERROR(__xludf.DUMMYFUNCTION("""COMPUTED_VALUE"""),"獎狀")</f>
        <v>獎狀</v>
      </c>
      <c r="H220" s="9"/>
    </row>
    <row r="221">
      <c r="A221" s="5" t="s">
        <v>9</v>
      </c>
      <c r="B221" s="9" t="str">
        <f>IFERROR(__xludf.DUMMYFUNCTION("""COMPUTED_VALUE"""),"陳O妤")</f>
        <v>陳O妤</v>
      </c>
      <c r="C221" s="9" t="str">
        <f>IFERROR(__xludf.DUMMYFUNCTION("""COMPUTED_VALUE"""),"112*****cogsh.tp.edu.tw")</f>
        <v>112*****cogsh.tp.edu.tw</v>
      </c>
      <c r="D221" s="9" t="str">
        <f>IFERROR(__xludf.DUMMYFUNCTION("""COMPUTED_VALUE"""),"臺北市私立金甌女子高級中學")</f>
        <v>臺北市私立金甌女子高級中學</v>
      </c>
      <c r="E221" s="9" t="str">
        <f>IFERROR(__xludf.DUMMYFUNCTION("""COMPUTED_VALUE"""),"普通科")</f>
        <v>普通科</v>
      </c>
      <c r="F221" s="9" t="str">
        <f>IFERROR(__xludf.DUMMYFUNCTION("""COMPUTED_VALUE"""),"三年級")</f>
        <v>三年級</v>
      </c>
      <c r="G221" s="10" t="str">
        <f>IFERROR(__xludf.DUMMYFUNCTION("""COMPUTED_VALUE"""),"獎狀")</f>
        <v>獎狀</v>
      </c>
      <c r="H221" s="9"/>
    </row>
    <row r="222">
      <c r="A222" s="5" t="s">
        <v>9</v>
      </c>
      <c r="B222" s="9" t="str">
        <f>IFERROR(__xludf.DUMMYFUNCTION("""COMPUTED_VALUE"""),"許O蓁")</f>
        <v>許O蓁</v>
      </c>
      <c r="C222" s="9" t="str">
        <f>IFERROR(__xludf.DUMMYFUNCTION("""COMPUTED_VALUE"""),"112*****cogsh.tp.edu.tw")</f>
        <v>112*****cogsh.tp.edu.tw</v>
      </c>
      <c r="D222" s="9" t="str">
        <f>IFERROR(__xludf.DUMMYFUNCTION("""COMPUTED_VALUE"""),"臺北市私立金甌女子高級中學")</f>
        <v>臺北市私立金甌女子高級中學</v>
      </c>
      <c r="E222" s="9" t="str">
        <f>IFERROR(__xludf.DUMMYFUNCTION("""COMPUTED_VALUE"""),"普通科")</f>
        <v>普通科</v>
      </c>
      <c r="F222" s="9" t="str">
        <f>IFERROR(__xludf.DUMMYFUNCTION("""COMPUTED_VALUE"""),"三年級")</f>
        <v>三年級</v>
      </c>
      <c r="G222" s="10" t="str">
        <f>IFERROR(__xludf.DUMMYFUNCTION("""COMPUTED_VALUE"""),"獎狀")</f>
        <v>獎狀</v>
      </c>
      <c r="H222" s="9"/>
    </row>
    <row r="223">
      <c r="A223" s="5" t="s">
        <v>9</v>
      </c>
      <c r="B223" s="9" t="str">
        <f>IFERROR(__xludf.DUMMYFUNCTION("""COMPUTED_VALUE"""),"李O儒")</f>
        <v>李O儒</v>
      </c>
      <c r="C223" s="9" t="str">
        <f>IFERROR(__xludf.DUMMYFUNCTION("""COMPUTED_VALUE"""),"112*****cogsh.tp.edu.tw")</f>
        <v>112*****cogsh.tp.edu.tw</v>
      </c>
      <c r="D223" s="9" t="str">
        <f>IFERROR(__xludf.DUMMYFUNCTION("""COMPUTED_VALUE"""),"臺北市私立金甌女子高級中學")</f>
        <v>臺北市私立金甌女子高級中學</v>
      </c>
      <c r="E223" s="9" t="str">
        <f>IFERROR(__xludf.DUMMYFUNCTION("""COMPUTED_VALUE"""),"普通科")</f>
        <v>普通科</v>
      </c>
      <c r="F223" s="9" t="str">
        <f>IFERROR(__xludf.DUMMYFUNCTION("""COMPUTED_VALUE"""),"三年級")</f>
        <v>三年級</v>
      </c>
      <c r="G223" s="10" t="str">
        <f>IFERROR(__xludf.DUMMYFUNCTION("""COMPUTED_VALUE"""),"■商品卡$200")</f>
        <v>■商品卡$200</v>
      </c>
      <c r="H223" s="9"/>
    </row>
    <row r="224">
      <c r="A224" s="5" t="s">
        <v>9</v>
      </c>
      <c r="B224" s="9" t="str">
        <f>IFERROR(__xludf.DUMMYFUNCTION("""COMPUTED_VALUE"""),"陳O儀")</f>
        <v>陳O儀</v>
      </c>
      <c r="C224" s="9" t="str">
        <f>IFERROR(__xludf.DUMMYFUNCTION("""COMPUTED_VALUE"""),"112*****cogsh.tp.edu.tw")</f>
        <v>112*****cogsh.tp.edu.tw</v>
      </c>
      <c r="D224" s="9" t="str">
        <f>IFERROR(__xludf.DUMMYFUNCTION("""COMPUTED_VALUE"""),"臺北市私立金甌女子高級中學")</f>
        <v>臺北市私立金甌女子高級中學</v>
      </c>
      <c r="E224" s="9" t="str">
        <f>IFERROR(__xludf.DUMMYFUNCTION("""COMPUTED_VALUE"""),"普通科")</f>
        <v>普通科</v>
      </c>
      <c r="F224" s="9" t="str">
        <f>IFERROR(__xludf.DUMMYFUNCTION("""COMPUTED_VALUE"""),"三年級")</f>
        <v>三年級</v>
      </c>
      <c r="G224" s="10" t="str">
        <f>IFERROR(__xludf.DUMMYFUNCTION("""COMPUTED_VALUE"""),"○商品卡$500")</f>
        <v>○商品卡$500</v>
      </c>
      <c r="H224" s="9"/>
    </row>
    <row r="225">
      <c r="A225" s="5" t="s">
        <v>9</v>
      </c>
      <c r="B225" s="9" t="str">
        <f>IFERROR(__xludf.DUMMYFUNCTION("""COMPUTED_VALUE"""),"李O語")</f>
        <v>李O語</v>
      </c>
      <c r="C225" s="9" t="str">
        <f>IFERROR(__xludf.DUMMYFUNCTION("""COMPUTED_VALUE"""),"112*****cogsh.tp.edu.tw")</f>
        <v>112*****cogsh.tp.edu.tw</v>
      </c>
      <c r="D225" s="9" t="str">
        <f>IFERROR(__xludf.DUMMYFUNCTION("""COMPUTED_VALUE"""),"臺北市私立金甌女子高級中學")</f>
        <v>臺北市私立金甌女子高級中學</v>
      </c>
      <c r="E225" s="9" t="str">
        <f>IFERROR(__xludf.DUMMYFUNCTION("""COMPUTED_VALUE"""),"普通科")</f>
        <v>普通科</v>
      </c>
      <c r="F225" s="9" t="str">
        <f>IFERROR(__xludf.DUMMYFUNCTION("""COMPUTED_VALUE"""),"三年級")</f>
        <v>三年級</v>
      </c>
      <c r="G225" s="10" t="str">
        <f>IFERROR(__xludf.DUMMYFUNCTION("""COMPUTED_VALUE"""),"★商品卡$1000")</f>
        <v>★商品卡$1000</v>
      </c>
      <c r="H225" s="9"/>
    </row>
    <row r="226">
      <c r="A226" s="5" t="s">
        <v>9</v>
      </c>
      <c r="B226" s="9" t="str">
        <f>IFERROR(__xludf.DUMMYFUNCTION("""COMPUTED_VALUE"""),"李O儀")</f>
        <v>李O儀</v>
      </c>
      <c r="C226" s="9" t="str">
        <f>IFERROR(__xludf.DUMMYFUNCTION("""COMPUTED_VALUE"""),"112*****cogsh.tp.edu.tw")</f>
        <v>112*****cogsh.tp.edu.tw</v>
      </c>
      <c r="D226" s="9" t="str">
        <f>IFERROR(__xludf.DUMMYFUNCTION("""COMPUTED_VALUE"""),"臺北市私立金甌女子高級中學")</f>
        <v>臺北市私立金甌女子高級中學</v>
      </c>
      <c r="E226" s="9" t="str">
        <f>IFERROR(__xludf.DUMMYFUNCTION("""COMPUTED_VALUE"""),"普通科")</f>
        <v>普通科</v>
      </c>
      <c r="F226" s="9" t="str">
        <f>IFERROR(__xludf.DUMMYFUNCTION("""COMPUTED_VALUE"""),"三年級")</f>
        <v>三年級</v>
      </c>
      <c r="G226" s="10" t="str">
        <f>IFERROR(__xludf.DUMMYFUNCTION("""COMPUTED_VALUE"""),"獎狀")</f>
        <v>獎狀</v>
      </c>
      <c r="H226" s="9"/>
    </row>
    <row r="227">
      <c r="A227" s="5" t="s">
        <v>9</v>
      </c>
      <c r="B227" s="9" t="str">
        <f>IFERROR(__xludf.DUMMYFUNCTION("""COMPUTED_VALUE"""),"康O瑄")</f>
        <v>康O瑄</v>
      </c>
      <c r="C227" s="9" t="str">
        <f>IFERROR(__xludf.DUMMYFUNCTION("""COMPUTED_VALUE"""),"112*****cogsh.tp.edu.tw")</f>
        <v>112*****cogsh.tp.edu.tw</v>
      </c>
      <c r="D227" s="9" t="str">
        <f>IFERROR(__xludf.DUMMYFUNCTION("""COMPUTED_VALUE"""),"臺北市私立金甌女子高級中學")</f>
        <v>臺北市私立金甌女子高級中學</v>
      </c>
      <c r="E227" s="9" t="str">
        <f>IFERROR(__xludf.DUMMYFUNCTION("""COMPUTED_VALUE"""),"普通科")</f>
        <v>普通科</v>
      </c>
      <c r="F227" s="9" t="str">
        <f>IFERROR(__xludf.DUMMYFUNCTION("""COMPUTED_VALUE"""),"三年級")</f>
        <v>三年級</v>
      </c>
      <c r="G227" s="10" t="str">
        <f>IFERROR(__xludf.DUMMYFUNCTION("""COMPUTED_VALUE"""),"獎狀")</f>
        <v>獎狀</v>
      </c>
      <c r="H227" s="11"/>
    </row>
    <row r="228">
      <c r="A228" s="5" t="s">
        <v>9</v>
      </c>
      <c r="B228" s="9" t="str">
        <f>IFERROR(__xludf.DUMMYFUNCTION("""COMPUTED_VALUE"""),"陳O均")</f>
        <v>陳O均</v>
      </c>
      <c r="C228" s="9" t="str">
        <f>IFERROR(__xludf.DUMMYFUNCTION("""COMPUTED_VALUE"""),"ssp*****80.tp@mail.edu.tw")</f>
        <v>ssp*****80.tp@mail.edu.tw</v>
      </c>
      <c r="D228" s="9" t="str">
        <f>IFERROR(__xludf.DUMMYFUNCTION("""COMPUTED_VALUE"""),"國立臺灣師範大學附屬高級中學")</f>
        <v>國立臺灣師範大學附屬高級中學</v>
      </c>
      <c r="E228" s="9" t="str">
        <f>IFERROR(__xludf.DUMMYFUNCTION("""COMPUTED_VALUE"""),"普通科")</f>
        <v>普通科</v>
      </c>
      <c r="F228" s="9" t="str">
        <f>IFERROR(__xludf.DUMMYFUNCTION("""COMPUTED_VALUE"""),"一年級")</f>
        <v>一年級</v>
      </c>
      <c r="G228" s="10" t="str">
        <f>IFERROR(__xludf.DUMMYFUNCTION("""COMPUTED_VALUE"""),"獎狀")</f>
        <v>獎狀</v>
      </c>
      <c r="H228" s="11"/>
    </row>
    <row r="229">
      <c r="A229" s="5" t="s">
        <v>9</v>
      </c>
      <c r="B229" s="9" t="str">
        <f>IFERROR(__xludf.DUMMYFUNCTION("""COMPUTED_VALUE"""),"唐O妤")</f>
        <v>唐O妤</v>
      </c>
      <c r="C229" s="9" t="str">
        <f>IFERROR(__xludf.DUMMYFUNCTION("""COMPUTED_VALUE"""),"fel*****0091121.tang@gmail.com")</f>
        <v>fel*****0091121.tang@gmail.com</v>
      </c>
      <c r="D229" s="9" t="str">
        <f>IFERROR(__xludf.DUMMYFUNCTION("""COMPUTED_VALUE"""),"國立臺灣師範大學附屬高級中學")</f>
        <v>國立臺灣師範大學附屬高級中學</v>
      </c>
      <c r="E229" s="9" t="str">
        <f>IFERROR(__xludf.DUMMYFUNCTION("""COMPUTED_VALUE"""),"普通科")</f>
        <v>普通科</v>
      </c>
      <c r="F229" s="9" t="str">
        <f>IFERROR(__xludf.DUMMYFUNCTION("""COMPUTED_VALUE"""),"一年級")</f>
        <v>一年級</v>
      </c>
      <c r="G229" s="10" t="str">
        <f>IFERROR(__xludf.DUMMYFUNCTION("""COMPUTED_VALUE"""),"獎狀")</f>
        <v>獎狀</v>
      </c>
      <c r="H229" s="11"/>
    </row>
    <row r="230">
      <c r="A230" s="5" t="s">
        <v>9</v>
      </c>
      <c r="B230" s="9" t="str">
        <f>IFERROR(__xludf.DUMMYFUNCTION("""COMPUTED_VALUE"""),"吳O潔")</f>
        <v>吳O潔</v>
      </c>
      <c r="C230" s="9" t="str">
        <f>IFERROR(__xludf.DUMMYFUNCTION("""COMPUTED_VALUE"""),"wuh*****eh98@gmail.com")</f>
        <v>wuh*****eh98@gmail.com</v>
      </c>
      <c r="D230" s="9" t="str">
        <f>IFERROR(__xludf.DUMMYFUNCTION("""COMPUTED_VALUE"""),"國立臺灣師範大學附屬高級中學")</f>
        <v>國立臺灣師範大學附屬高級中學</v>
      </c>
      <c r="E230" s="9" t="str">
        <f>IFERROR(__xludf.DUMMYFUNCTION("""COMPUTED_VALUE"""),"普通科")</f>
        <v>普通科</v>
      </c>
      <c r="F230" s="9" t="str">
        <f>IFERROR(__xludf.DUMMYFUNCTION("""COMPUTED_VALUE"""),"二年級")</f>
        <v>二年級</v>
      </c>
      <c r="G230" s="10" t="str">
        <f>IFERROR(__xludf.DUMMYFUNCTION("""COMPUTED_VALUE"""),"獎狀")</f>
        <v>獎狀</v>
      </c>
      <c r="H230" s="11"/>
    </row>
    <row r="231">
      <c r="A231" s="5" t="s">
        <v>9</v>
      </c>
      <c r="B231" s="9" t="str">
        <f>IFERROR(__xludf.DUMMYFUNCTION("""COMPUTED_VALUE"""),"林O丞")</f>
        <v>林O丞</v>
      </c>
      <c r="C231" s="9" t="str">
        <f>IFERROR(__xludf.DUMMYFUNCTION("""COMPUTED_VALUE"""),"ivy*****0@gmail.com")</f>
        <v>ivy*****0@gmail.com</v>
      </c>
      <c r="D231" s="9" t="str">
        <f>IFERROR(__xludf.DUMMYFUNCTION("""COMPUTED_VALUE"""),"國立臺灣師範大學附屬高級中學")</f>
        <v>國立臺灣師範大學附屬高級中學</v>
      </c>
      <c r="E231" s="9" t="str">
        <f>IFERROR(__xludf.DUMMYFUNCTION("""COMPUTED_VALUE"""),"普通科")</f>
        <v>普通科</v>
      </c>
      <c r="F231" s="9" t="str">
        <f>IFERROR(__xludf.DUMMYFUNCTION("""COMPUTED_VALUE"""),"二年級")</f>
        <v>二年級</v>
      </c>
      <c r="G231" s="10" t="str">
        <f>IFERROR(__xludf.DUMMYFUNCTION("""COMPUTED_VALUE"""),"獎狀")</f>
        <v>獎狀</v>
      </c>
      <c r="H231" s="11"/>
    </row>
    <row r="232">
      <c r="A232" s="5" t="s">
        <v>9</v>
      </c>
      <c r="B232" s="9" t="str">
        <f>IFERROR(__xludf.DUMMYFUNCTION("""COMPUTED_VALUE"""),"林O萱")</f>
        <v>林O萱</v>
      </c>
      <c r="C232" s="9" t="str">
        <f>IFERROR(__xludf.DUMMYFUNCTION("""COMPUTED_VALUE"""),"111*****@lsjhs.tp.edu.tw")</f>
        <v>111*****@lsjhs.tp.edu.tw</v>
      </c>
      <c r="D232" s="9" t="str">
        <f>IFERROR(__xludf.DUMMYFUNCTION("""COMPUTED_VALUE"""),"臺北市立松山高級中學")</f>
        <v>臺北市立松山高級中學</v>
      </c>
      <c r="E232" s="9" t="str">
        <f>IFERROR(__xludf.DUMMYFUNCTION("""COMPUTED_VALUE"""),"普通科")</f>
        <v>普通科</v>
      </c>
      <c r="F232" s="9" t="str">
        <f>IFERROR(__xludf.DUMMYFUNCTION("""COMPUTED_VALUE"""),"一年級")</f>
        <v>一年級</v>
      </c>
      <c r="G232" s="10" t="str">
        <f>IFERROR(__xludf.DUMMYFUNCTION("""COMPUTED_VALUE"""),"獎狀")</f>
        <v>獎狀</v>
      </c>
      <c r="H232" s="11"/>
    </row>
    <row r="233">
      <c r="A233" s="5" t="s">
        <v>9</v>
      </c>
      <c r="B233" s="9" t="str">
        <f>IFERROR(__xludf.DUMMYFUNCTION("""COMPUTED_VALUE"""),"魏O潔")</f>
        <v>魏O潔</v>
      </c>
      <c r="C233" s="9" t="str">
        <f>IFERROR(__xludf.DUMMYFUNCTION("""COMPUTED_VALUE"""),"yuj*****1219@gmail.com")</f>
        <v>yuj*****1219@gmail.com</v>
      </c>
      <c r="D233" s="9" t="str">
        <f>IFERROR(__xludf.DUMMYFUNCTION("""COMPUTED_VALUE"""),"臺北市立和平高級中學")</f>
        <v>臺北市立和平高級中學</v>
      </c>
      <c r="E233" s="9" t="str">
        <f>IFERROR(__xludf.DUMMYFUNCTION("""COMPUTED_VALUE"""),"普通科")</f>
        <v>普通科</v>
      </c>
      <c r="F233" s="9" t="str">
        <f>IFERROR(__xludf.DUMMYFUNCTION("""COMPUTED_VALUE"""),"一年級")</f>
        <v>一年級</v>
      </c>
      <c r="G233" s="10" t="str">
        <f>IFERROR(__xludf.DUMMYFUNCTION("""COMPUTED_VALUE"""),"獎狀")</f>
        <v>獎狀</v>
      </c>
      <c r="H233" s="11"/>
    </row>
    <row r="234">
      <c r="A234" s="5" t="s">
        <v>9</v>
      </c>
      <c r="B234" s="9" t="str">
        <f>IFERROR(__xludf.DUMMYFUNCTION("""COMPUTED_VALUE"""),"徐O禪")</f>
        <v>徐O禪</v>
      </c>
      <c r="C234" s="9" t="str">
        <f>IFERROR(__xludf.DUMMYFUNCTION("""COMPUTED_VALUE"""),"hup*****87@mail.edu.tw")</f>
        <v>hup*****87@mail.edu.tw</v>
      </c>
      <c r="D234" s="9" t="str">
        <f>IFERROR(__xludf.DUMMYFUNCTION("""COMPUTED_VALUE"""),"臺北市立華江高級中學")</f>
        <v>臺北市立華江高級中學</v>
      </c>
      <c r="E234" s="9" t="str">
        <f>IFERROR(__xludf.DUMMYFUNCTION("""COMPUTED_VALUE"""),"普通科")</f>
        <v>普通科</v>
      </c>
      <c r="F234" s="9" t="str">
        <f>IFERROR(__xludf.DUMMYFUNCTION("""COMPUTED_VALUE"""),"二年級")</f>
        <v>二年級</v>
      </c>
      <c r="G234" s="10" t="str">
        <f>IFERROR(__xludf.DUMMYFUNCTION("""COMPUTED_VALUE"""),"獎狀")</f>
        <v>獎狀</v>
      </c>
      <c r="H234" s="11"/>
    </row>
    <row r="235">
      <c r="A235" s="5" t="s">
        <v>9</v>
      </c>
      <c r="B235" s="9" t="str">
        <f>IFERROR(__xludf.DUMMYFUNCTION("""COMPUTED_VALUE"""),"李O禎")</f>
        <v>李O禎</v>
      </c>
      <c r="C235" s="9" t="str">
        <f>IFERROR(__xludf.DUMMYFUNCTION("""COMPUTED_VALUE"""),"lee*****tw@gmail.com")</f>
        <v>lee*****tw@gmail.com</v>
      </c>
      <c r="D235" s="9" t="str">
        <f>IFERROR(__xludf.DUMMYFUNCTION("""COMPUTED_VALUE"""),"臺北市立大理高級中學")</f>
        <v>臺北市立大理高級中學</v>
      </c>
      <c r="E235" s="9" t="str">
        <f>IFERROR(__xludf.DUMMYFUNCTION("""COMPUTED_VALUE"""),"普通科")</f>
        <v>普通科</v>
      </c>
      <c r="F235" s="9" t="str">
        <f>IFERROR(__xludf.DUMMYFUNCTION("""COMPUTED_VALUE"""),"三年級")</f>
        <v>三年級</v>
      </c>
      <c r="G235" s="10" t="str">
        <f>IFERROR(__xludf.DUMMYFUNCTION("""COMPUTED_VALUE"""),"獎狀")</f>
        <v>獎狀</v>
      </c>
      <c r="H235" s="11"/>
    </row>
    <row r="236">
      <c r="A236" s="5" t="s">
        <v>9</v>
      </c>
      <c r="B236" s="9" t="str">
        <f>IFERROR(__xludf.DUMMYFUNCTION("""COMPUTED_VALUE"""),"吳O淇")</f>
        <v>吳O淇</v>
      </c>
      <c r="C236" s="9" t="str">
        <f>IFERROR(__xludf.DUMMYFUNCTION("""COMPUTED_VALUE"""),"abb*****027@gmail.com")</f>
        <v>abb*****027@gmail.com</v>
      </c>
      <c r="D236" s="9" t="str">
        <f>IFERROR(__xludf.DUMMYFUNCTION("""COMPUTED_VALUE"""),"臺北市立永春高級中學")</f>
        <v>臺北市立永春高級中學</v>
      </c>
      <c r="E236" s="9" t="str">
        <f>IFERROR(__xludf.DUMMYFUNCTION("""COMPUTED_VALUE"""),"普通科")</f>
        <v>普通科</v>
      </c>
      <c r="F236" s="9" t="str">
        <f>IFERROR(__xludf.DUMMYFUNCTION("""COMPUTED_VALUE"""),"二年級")</f>
        <v>二年級</v>
      </c>
      <c r="G236" s="10" t="str">
        <f>IFERROR(__xludf.DUMMYFUNCTION("""COMPUTED_VALUE"""),"獎狀")</f>
        <v>獎狀</v>
      </c>
      <c r="H236" s="11"/>
    </row>
    <row r="237">
      <c r="A237" s="5" t="s">
        <v>9</v>
      </c>
      <c r="B237" s="9" t="str">
        <f>IFERROR(__xludf.DUMMYFUNCTION("""COMPUTED_VALUE"""),"吳O妮")</f>
        <v>吳O妮</v>
      </c>
      <c r="C237" s="9" t="str">
        <f>IFERROR(__xludf.DUMMYFUNCTION("""COMPUTED_VALUE"""),"lch*****gmail.com")</f>
        <v>lch*****gmail.com</v>
      </c>
      <c r="D237" s="9" t="str">
        <f>IFERROR(__xludf.DUMMYFUNCTION("""COMPUTED_VALUE"""),"臺北市立永春高級中學")</f>
        <v>臺北市立永春高級中學</v>
      </c>
      <c r="E237" s="9" t="str">
        <f>IFERROR(__xludf.DUMMYFUNCTION("""COMPUTED_VALUE"""),"普通科")</f>
        <v>普通科</v>
      </c>
      <c r="F237" s="9" t="str">
        <f>IFERROR(__xludf.DUMMYFUNCTION("""COMPUTED_VALUE"""),"二年級")</f>
        <v>二年級</v>
      </c>
      <c r="G237" s="10" t="str">
        <f>IFERROR(__xludf.DUMMYFUNCTION("""COMPUTED_VALUE"""),"獎狀")</f>
        <v>獎狀</v>
      </c>
      <c r="H237" s="11"/>
    </row>
    <row r="238">
      <c r="A238" s="5" t="s">
        <v>9</v>
      </c>
      <c r="B238" s="9" t="str">
        <f>IFERROR(__xludf.DUMMYFUNCTION("""COMPUTED_VALUE"""),"李O涔")</f>
        <v>李O涔</v>
      </c>
      <c r="C238" s="9" t="str">
        <f>IFERROR(__xludf.DUMMYFUNCTION("""COMPUTED_VALUE"""),"s11*****9@smail.ycsh.tp.edu.tw")</f>
        <v>s11*****9@smail.ycsh.tp.edu.tw</v>
      </c>
      <c r="D238" s="9" t="str">
        <f>IFERROR(__xludf.DUMMYFUNCTION("""COMPUTED_VALUE"""),"臺北市立永春高級中學")</f>
        <v>臺北市立永春高級中學</v>
      </c>
      <c r="E238" s="9" t="str">
        <f>IFERROR(__xludf.DUMMYFUNCTION("""COMPUTED_VALUE"""),"普通科")</f>
        <v>普通科</v>
      </c>
      <c r="F238" s="9" t="str">
        <f>IFERROR(__xludf.DUMMYFUNCTION("""COMPUTED_VALUE"""),"二年級")</f>
        <v>二年級</v>
      </c>
      <c r="G238" s="10" t="str">
        <f>IFERROR(__xludf.DUMMYFUNCTION("""COMPUTED_VALUE"""),"獎狀")</f>
        <v>獎狀</v>
      </c>
      <c r="H238" s="11"/>
    </row>
    <row r="239">
      <c r="A239" s="5" t="s">
        <v>9</v>
      </c>
      <c r="B239" s="9" t="str">
        <f>IFERROR(__xludf.DUMMYFUNCTION("""COMPUTED_VALUE"""),"吳O崴")</f>
        <v>吳O崴</v>
      </c>
      <c r="C239" s="9" t="str">
        <f>IFERROR(__xludf.DUMMYFUNCTION("""COMPUTED_VALUE"""),"who*****9698@gmail.com")</f>
        <v>who*****9698@gmail.com</v>
      </c>
      <c r="D239" s="9" t="str">
        <f>IFERROR(__xludf.DUMMYFUNCTION("""COMPUTED_VALUE"""),"臺北市立永春高級中學")</f>
        <v>臺北市立永春高級中學</v>
      </c>
      <c r="E239" s="9" t="str">
        <f>IFERROR(__xludf.DUMMYFUNCTION("""COMPUTED_VALUE"""),"普通科")</f>
        <v>普通科</v>
      </c>
      <c r="F239" s="9" t="str">
        <f>IFERROR(__xludf.DUMMYFUNCTION("""COMPUTED_VALUE"""),"三年級")</f>
        <v>三年級</v>
      </c>
      <c r="G239" s="10" t="str">
        <f>IFERROR(__xludf.DUMMYFUNCTION("""COMPUTED_VALUE"""),"獎狀")</f>
        <v>獎狀</v>
      </c>
      <c r="H239" s="9"/>
    </row>
    <row r="240">
      <c r="A240" s="5" t="s">
        <v>9</v>
      </c>
      <c r="B240" s="9" t="str">
        <f>IFERROR(__xludf.DUMMYFUNCTION("""COMPUTED_VALUE"""),"梁O恩")</f>
        <v>梁O恩</v>
      </c>
      <c r="C240" s="9" t="str">
        <f>IFERROR(__xludf.DUMMYFUNCTION("""COMPUTED_VALUE"""),"pip*****003@yahoo.com")</f>
        <v>pip*****003@yahoo.com</v>
      </c>
      <c r="D240" s="9" t="str">
        <f>IFERROR(__xludf.DUMMYFUNCTION("""COMPUTED_VALUE"""),"臺北市立陽明高級中學")</f>
        <v>臺北市立陽明高級中學</v>
      </c>
      <c r="E240" s="9" t="str">
        <f>IFERROR(__xludf.DUMMYFUNCTION("""COMPUTED_VALUE"""),"普通科")</f>
        <v>普通科</v>
      </c>
      <c r="F240" s="9" t="str">
        <f>IFERROR(__xludf.DUMMYFUNCTION("""COMPUTED_VALUE"""),"二年級")</f>
        <v>二年級</v>
      </c>
      <c r="G240" s="10" t="str">
        <f>IFERROR(__xludf.DUMMYFUNCTION("""COMPUTED_VALUE"""),"■商品卡$200")</f>
        <v>■商品卡$200</v>
      </c>
      <c r="H240" s="9"/>
    </row>
    <row r="241">
      <c r="A241" s="5" t="s">
        <v>9</v>
      </c>
      <c r="B241" s="9" t="str">
        <f>IFERROR(__xludf.DUMMYFUNCTION("""COMPUTED_VALUE"""),"周O欣")</f>
        <v>周O欣</v>
      </c>
      <c r="C241" s="9" t="str">
        <f>IFERROR(__xludf.DUMMYFUNCTION("""COMPUTED_VALUE"""),"cho*****xin60322@gmail.com")</f>
        <v>cho*****xin60322@gmail.com</v>
      </c>
      <c r="D241" s="9" t="str">
        <f>IFERROR(__xludf.DUMMYFUNCTION("""COMPUTED_VALUE"""),"臺北市立百齡高級中學")</f>
        <v>臺北市立百齡高級中學</v>
      </c>
      <c r="E241" s="9" t="str">
        <f>IFERROR(__xludf.DUMMYFUNCTION("""COMPUTED_VALUE"""),"普通科")</f>
        <v>普通科</v>
      </c>
      <c r="F241" s="9" t="str">
        <f>IFERROR(__xludf.DUMMYFUNCTION("""COMPUTED_VALUE"""),"一年級")</f>
        <v>一年級</v>
      </c>
      <c r="G241" s="10" t="str">
        <f>IFERROR(__xludf.DUMMYFUNCTION("""COMPUTED_VALUE"""),"獎狀")</f>
        <v>獎狀</v>
      </c>
      <c r="H241" s="11"/>
    </row>
    <row r="242">
      <c r="A242" s="5" t="s">
        <v>9</v>
      </c>
      <c r="B242" s="9" t="str">
        <f>IFERROR(__xludf.DUMMYFUNCTION("""COMPUTED_VALUE"""),"簡O億")</f>
        <v>簡O億</v>
      </c>
      <c r="C242" s="9" t="str">
        <f>IFERROR(__xludf.DUMMYFUNCTION("""COMPUTED_VALUE"""),"s11*****0@mail2.blsh.tp.edu.tw")</f>
        <v>s11*****0@mail2.blsh.tp.edu.tw</v>
      </c>
      <c r="D242" s="9" t="str">
        <f>IFERROR(__xludf.DUMMYFUNCTION("""COMPUTED_VALUE"""),"臺北市立百齡高級中學")</f>
        <v>臺北市立百齡高級中學</v>
      </c>
      <c r="E242" s="9" t="str">
        <f>IFERROR(__xludf.DUMMYFUNCTION("""COMPUTED_VALUE"""),"普通科")</f>
        <v>普通科</v>
      </c>
      <c r="F242" s="9" t="str">
        <f>IFERROR(__xludf.DUMMYFUNCTION("""COMPUTED_VALUE"""),"二年級")</f>
        <v>二年級</v>
      </c>
      <c r="G242" s="10" t="str">
        <f>IFERROR(__xludf.DUMMYFUNCTION("""COMPUTED_VALUE"""),"獎狀")</f>
        <v>獎狀</v>
      </c>
      <c r="H242" s="11"/>
    </row>
    <row r="243">
      <c r="A243" s="5" t="s">
        <v>9</v>
      </c>
      <c r="B243" s="9" t="str">
        <f>IFERROR(__xludf.DUMMYFUNCTION("""COMPUTED_VALUE"""),"吳O暻")</f>
        <v>吳O暻</v>
      </c>
      <c r="C243" s="9" t="str">
        <f>IFERROR(__xludf.DUMMYFUNCTION("""COMPUTED_VALUE"""),"111*****@tpsh.tp.edu.tw")</f>
        <v>111*****@tpsh.tp.edu.tw</v>
      </c>
      <c r="D243" s="9" t="str">
        <f>IFERROR(__xludf.DUMMYFUNCTION("""COMPUTED_VALUE"""),"臺北市私立泰北高級中學")</f>
        <v>臺北市私立泰北高級中學</v>
      </c>
      <c r="E243" s="9" t="str">
        <f>IFERROR(__xludf.DUMMYFUNCTION("""COMPUTED_VALUE"""),"普通科")</f>
        <v>普通科</v>
      </c>
      <c r="F243" s="9" t="str">
        <f>IFERROR(__xludf.DUMMYFUNCTION("""COMPUTED_VALUE"""),"一年級")</f>
        <v>一年級</v>
      </c>
      <c r="G243" s="10" t="str">
        <f>IFERROR(__xludf.DUMMYFUNCTION("""COMPUTED_VALUE"""),"獎狀")</f>
        <v>獎狀</v>
      </c>
      <c r="H243" s="9"/>
    </row>
    <row r="244">
      <c r="A244" s="5" t="s">
        <v>9</v>
      </c>
      <c r="B244" s="9" t="str">
        <f>IFERROR(__xludf.DUMMYFUNCTION("""COMPUTED_VALUE"""),"洪O靖")</f>
        <v>洪O靖</v>
      </c>
      <c r="C244" s="9" t="str">
        <f>IFERROR(__xludf.DUMMYFUNCTION("""COMPUTED_VALUE"""),"gen*****15@gmail.com")</f>
        <v>gen*****15@gmail.com</v>
      </c>
      <c r="D244" s="9" t="str">
        <f>IFERROR(__xludf.DUMMYFUNCTION("""COMPUTED_VALUE"""),"臺北市立中正高級中學")</f>
        <v>臺北市立中正高級中學</v>
      </c>
      <c r="E244" s="9" t="str">
        <f>IFERROR(__xludf.DUMMYFUNCTION("""COMPUTED_VALUE"""),"普通科")</f>
        <v>普通科</v>
      </c>
      <c r="F244" s="9" t="str">
        <f>IFERROR(__xludf.DUMMYFUNCTION("""COMPUTED_VALUE"""),"三年級")</f>
        <v>三年級</v>
      </c>
      <c r="G244" s="10" t="str">
        <f>IFERROR(__xludf.DUMMYFUNCTION("""COMPUTED_VALUE"""),"獎狀")</f>
        <v>獎狀</v>
      </c>
      <c r="H244" s="9"/>
    </row>
    <row r="245">
      <c r="A245" s="5" t="s">
        <v>9</v>
      </c>
      <c r="B245" s="9" t="str">
        <f>IFERROR(__xludf.DUMMYFUNCTION("""COMPUTED_VALUE"""),"陳O蓁")</f>
        <v>陳O蓁</v>
      </c>
      <c r="C245" s="9" t="str">
        <f>IFERROR(__xludf.DUMMYFUNCTION("""COMPUTED_VALUE"""),"112*****@yh.tp.edu.tw")</f>
        <v>112*****@yh.tp.edu.tw</v>
      </c>
      <c r="D245" s="9" t="str">
        <f>IFERROR(__xludf.DUMMYFUNCTION("""COMPUTED_VALUE"""),"幼華學校財團法人臺北市幼華高級中等學校")</f>
        <v>幼華學校財團法人臺北市幼華高級中等學校</v>
      </c>
      <c r="E245" s="9" t="str">
        <f>IFERROR(__xludf.DUMMYFUNCTION("""COMPUTED_VALUE"""),"普通科")</f>
        <v>普通科</v>
      </c>
      <c r="F245" s="9" t="str">
        <f>IFERROR(__xludf.DUMMYFUNCTION("""COMPUTED_VALUE"""),"二年級")</f>
        <v>二年級</v>
      </c>
      <c r="G245" s="10" t="str">
        <f>IFERROR(__xludf.DUMMYFUNCTION("""COMPUTED_VALUE"""),"獎狀")</f>
        <v>獎狀</v>
      </c>
      <c r="H245" s="9"/>
    </row>
    <row r="246">
      <c r="A246" s="5" t="s">
        <v>9</v>
      </c>
      <c r="B246" s="9" t="str">
        <f>IFERROR(__xludf.DUMMYFUNCTION("""COMPUTED_VALUE"""),"周O諺")</f>
        <v>周O諺</v>
      </c>
      <c r="C246" s="9" t="str">
        <f>IFERROR(__xludf.DUMMYFUNCTION("""COMPUTED_VALUE"""),"112*****@yh.tp.edu.tw")</f>
        <v>112*****@yh.tp.edu.tw</v>
      </c>
      <c r="D246" s="9" t="str">
        <f>IFERROR(__xludf.DUMMYFUNCTION("""COMPUTED_VALUE"""),"幼華學校財團法人臺北市幼華高級中等學校")</f>
        <v>幼華學校財團法人臺北市幼華高級中等學校</v>
      </c>
      <c r="E246" s="9" t="str">
        <f>IFERROR(__xludf.DUMMYFUNCTION("""COMPUTED_VALUE"""),"普通科")</f>
        <v>普通科</v>
      </c>
      <c r="F246" s="9" t="str">
        <f>IFERROR(__xludf.DUMMYFUNCTION("""COMPUTED_VALUE"""),"二年級")</f>
        <v>二年級</v>
      </c>
      <c r="G246" s="10" t="str">
        <f>IFERROR(__xludf.DUMMYFUNCTION("""COMPUTED_VALUE"""),"獎狀")</f>
        <v>獎狀</v>
      </c>
      <c r="H246" s="9"/>
    </row>
    <row r="247">
      <c r="A247" s="5" t="s">
        <v>9</v>
      </c>
      <c r="B247" s="9" t="str">
        <f>IFERROR(__xludf.DUMMYFUNCTION("""COMPUTED_VALUE"""),"蔡O芸")</f>
        <v>蔡O芸</v>
      </c>
      <c r="C247" s="9" t="str">
        <f>IFERROR(__xludf.DUMMYFUNCTION("""COMPUTED_VALUE"""),"112*****@yh.tp.edu.tw")</f>
        <v>112*****@yh.tp.edu.tw</v>
      </c>
      <c r="D247" s="9" t="str">
        <f>IFERROR(__xludf.DUMMYFUNCTION("""COMPUTED_VALUE"""),"幼華學校財團法人臺北市幼華高級中等學校")</f>
        <v>幼華學校財團法人臺北市幼華高級中等學校</v>
      </c>
      <c r="E247" s="9" t="str">
        <f>IFERROR(__xludf.DUMMYFUNCTION("""COMPUTED_VALUE"""),"普通科")</f>
        <v>普通科</v>
      </c>
      <c r="F247" s="9" t="str">
        <f>IFERROR(__xludf.DUMMYFUNCTION("""COMPUTED_VALUE"""),"二年級")</f>
        <v>二年級</v>
      </c>
      <c r="G247" s="10" t="str">
        <f>IFERROR(__xludf.DUMMYFUNCTION("""COMPUTED_VALUE"""),"獎狀")</f>
        <v>獎狀</v>
      </c>
      <c r="H247" s="11"/>
    </row>
    <row r="248">
      <c r="A248" s="5" t="s">
        <v>9</v>
      </c>
      <c r="B248" s="9" t="str">
        <f>IFERROR(__xludf.DUMMYFUNCTION("""COMPUTED_VALUE"""),"彭O誼")</f>
        <v>彭O誼</v>
      </c>
      <c r="C248" s="9" t="str">
        <f>IFERROR(__xludf.DUMMYFUNCTION("""COMPUTED_VALUE"""),"tjp*****10@mail.edu.tw")</f>
        <v>tjp*****10@mail.edu.tw</v>
      </c>
      <c r="D248" s="9" t="str">
        <f>IFERROR(__xludf.DUMMYFUNCTION("""COMPUTED_VALUE"""),"臺北市立復興高級中學")</f>
        <v>臺北市立復興高級中學</v>
      </c>
      <c r="E248" s="9" t="str">
        <f>IFERROR(__xludf.DUMMYFUNCTION("""COMPUTED_VALUE"""),"普通科")</f>
        <v>普通科</v>
      </c>
      <c r="F248" s="9" t="str">
        <f>IFERROR(__xludf.DUMMYFUNCTION("""COMPUTED_VALUE"""),"二年級")</f>
        <v>二年級</v>
      </c>
      <c r="G248" s="10" t="str">
        <f>IFERROR(__xludf.DUMMYFUNCTION("""COMPUTED_VALUE"""),"獎狀")</f>
        <v>獎狀</v>
      </c>
      <c r="H248" s="11"/>
    </row>
    <row r="249">
      <c r="A249" s="5" t="s">
        <v>9</v>
      </c>
      <c r="B249" s="9" t="str">
        <f>IFERROR(__xludf.DUMMYFUNCTION("""COMPUTED_VALUE"""),"陳O緹")</f>
        <v>陳O緹</v>
      </c>
      <c r="C249" s="9" t="str">
        <f>IFERROR(__xludf.DUMMYFUNCTION("""COMPUTED_VALUE"""),"twi*****90504@gmail.com")</f>
        <v>twi*****90504@gmail.com</v>
      </c>
      <c r="D249" s="9" t="str">
        <f>IFERROR(__xludf.DUMMYFUNCTION("""COMPUTED_VALUE"""),"臺北市立復興高級中學")</f>
        <v>臺北市立復興高級中學</v>
      </c>
      <c r="E249" s="9" t="str">
        <f>IFERROR(__xludf.DUMMYFUNCTION("""COMPUTED_VALUE"""),"普通科")</f>
        <v>普通科</v>
      </c>
      <c r="F249" s="9" t="str">
        <f>IFERROR(__xludf.DUMMYFUNCTION("""COMPUTED_VALUE"""),"二年級")</f>
        <v>二年級</v>
      </c>
      <c r="G249" s="10" t="str">
        <f>IFERROR(__xludf.DUMMYFUNCTION("""COMPUTED_VALUE"""),"獎狀")</f>
        <v>獎狀</v>
      </c>
      <c r="H249" s="11"/>
    </row>
    <row r="250">
      <c r="A250" s="5" t="s">
        <v>9</v>
      </c>
      <c r="B250" s="9" t="str">
        <f>IFERROR(__xludf.DUMMYFUNCTION("""COMPUTED_VALUE"""),"黃O諭")</f>
        <v>黃O諭</v>
      </c>
      <c r="C250" s="9" t="str">
        <f>IFERROR(__xludf.DUMMYFUNCTION("""COMPUTED_VALUE"""),"113*****@fhsh.tp.edu.tw")</f>
        <v>113*****@fhsh.tp.edu.tw</v>
      </c>
      <c r="D250" s="9" t="str">
        <f>IFERROR(__xludf.DUMMYFUNCTION("""COMPUTED_VALUE"""),"臺北市立復興高級中學")</f>
        <v>臺北市立復興高級中學</v>
      </c>
      <c r="E250" s="9" t="str">
        <f>IFERROR(__xludf.DUMMYFUNCTION("""COMPUTED_VALUE"""),"普通科")</f>
        <v>普通科</v>
      </c>
      <c r="F250" s="9" t="str">
        <f>IFERROR(__xludf.DUMMYFUNCTION("""COMPUTED_VALUE"""),"二年級")</f>
        <v>二年級</v>
      </c>
      <c r="G250" s="10" t="str">
        <f>IFERROR(__xludf.DUMMYFUNCTION("""COMPUTED_VALUE"""),"獎狀")</f>
        <v>獎狀</v>
      </c>
      <c r="H250" s="11"/>
    </row>
    <row r="251">
      <c r="A251" s="5" t="s">
        <v>9</v>
      </c>
      <c r="B251" s="9" t="str">
        <f>IFERROR(__xludf.DUMMYFUNCTION("""COMPUTED_VALUE"""),"陳O諭")</f>
        <v>陳O諭</v>
      </c>
      <c r="C251" s="9" t="str">
        <f>IFERROR(__xludf.DUMMYFUNCTION("""COMPUTED_VALUE"""),"zw0*****@gmail.com")</f>
        <v>zw0*****@gmail.com</v>
      </c>
      <c r="D251" s="9" t="str">
        <f>IFERROR(__xludf.DUMMYFUNCTION("""COMPUTED_VALUE"""),"臺北市高級中等教育階段非學校型態實驗教育學生")</f>
        <v>臺北市高級中等教育階段非學校型態實驗教育學生</v>
      </c>
      <c r="E251" s="9" t="str">
        <f>IFERROR(__xludf.DUMMYFUNCTION("""COMPUTED_VALUE"""),"自學生")</f>
        <v>自學生</v>
      </c>
      <c r="F251" s="9" t="str">
        <f>IFERROR(__xludf.DUMMYFUNCTION("""COMPUTED_VALUE"""),"一年級")</f>
        <v>一年級</v>
      </c>
      <c r="G251" s="10" t="str">
        <f>IFERROR(__xludf.DUMMYFUNCTION("""COMPUTED_VALUE"""),"獎狀")</f>
        <v>獎狀</v>
      </c>
      <c r="H251" s="9"/>
    </row>
    <row r="252">
      <c r="A252" s="5" t="s">
        <v>9</v>
      </c>
      <c r="B252" s="9" t="str">
        <f>IFERROR(__xludf.DUMMYFUNCTION("""COMPUTED_VALUE"""),"王O語")</f>
        <v>王O語</v>
      </c>
      <c r="C252" s="9" t="str">
        <f>IFERROR(__xludf.DUMMYFUNCTION("""COMPUTED_VALUE"""),"s11*****stu.trgsh.tp.edu.tw")</f>
        <v>s11*****stu.trgsh.tp.edu.tw</v>
      </c>
      <c r="D252" s="9" t="str">
        <f>IFERROR(__xludf.DUMMYFUNCTION("""COMPUTED_VALUE"""),"臺北市私立達人高級中學")</f>
        <v>臺北市私立達人高級中學</v>
      </c>
      <c r="E252" s="9" t="str">
        <f>IFERROR(__xludf.DUMMYFUNCTION("""COMPUTED_VALUE"""),"普通科")</f>
        <v>普通科</v>
      </c>
      <c r="F252" s="9" t="str">
        <f>IFERROR(__xludf.DUMMYFUNCTION("""COMPUTED_VALUE"""),"二年級")</f>
        <v>二年級</v>
      </c>
      <c r="G252" s="10" t="str">
        <f>IFERROR(__xludf.DUMMYFUNCTION("""COMPUTED_VALUE"""),"獎狀")</f>
        <v>獎狀</v>
      </c>
      <c r="H252" s="11"/>
    </row>
    <row r="253">
      <c r="A253" s="5" t="s">
        <v>9</v>
      </c>
      <c r="B253" s="9" t="str">
        <f>IFERROR(__xludf.DUMMYFUNCTION("""COMPUTED_VALUE"""),"張O奇")</f>
        <v>張O奇</v>
      </c>
      <c r="C253" s="9" t="str">
        <f>IFERROR(__xludf.DUMMYFUNCTION("""COMPUTED_VALUE"""),"tie*****02@gmail.com")</f>
        <v>tie*****02@gmail.com</v>
      </c>
      <c r="D253" s="9" t="str">
        <f>IFERROR(__xludf.DUMMYFUNCTION("""COMPUTED_VALUE"""),"臺北市立內湖高級中學")</f>
        <v>臺北市立內湖高級中學</v>
      </c>
      <c r="E253" s="9" t="str">
        <f>IFERROR(__xludf.DUMMYFUNCTION("""COMPUTED_VALUE"""),"普通科")</f>
        <v>普通科</v>
      </c>
      <c r="F253" s="9" t="str">
        <f>IFERROR(__xludf.DUMMYFUNCTION("""COMPUTED_VALUE"""),"一年級")</f>
        <v>一年級</v>
      </c>
      <c r="G253" s="10" t="str">
        <f>IFERROR(__xludf.DUMMYFUNCTION("""COMPUTED_VALUE"""),"獎狀")</f>
        <v>獎狀</v>
      </c>
      <c r="H253" s="11"/>
    </row>
    <row r="254">
      <c r="A254" s="5" t="s">
        <v>9</v>
      </c>
      <c r="B254" s="9" t="str">
        <f>IFERROR(__xludf.DUMMYFUNCTION("""COMPUTED_VALUE"""),"黃O絜")</f>
        <v>黃O絜</v>
      </c>
      <c r="C254" s="9" t="str">
        <f>IFERROR(__xludf.DUMMYFUNCTION("""COMPUTED_VALUE"""),"s11*****3@nhsh.tp.edu.tw")</f>
        <v>s11*****3@nhsh.tp.edu.tw</v>
      </c>
      <c r="D254" s="9" t="str">
        <f>IFERROR(__xludf.DUMMYFUNCTION("""COMPUTED_VALUE"""),"臺北市立內湖高級中學")</f>
        <v>臺北市立內湖高級中學</v>
      </c>
      <c r="E254" s="9" t="str">
        <f>IFERROR(__xludf.DUMMYFUNCTION("""COMPUTED_VALUE"""),"普通科")</f>
        <v>普通科</v>
      </c>
      <c r="F254" s="9" t="str">
        <f>IFERROR(__xludf.DUMMYFUNCTION("""COMPUTED_VALUE"""),"二年級")</f>
        <v>二年級</v>
      </c>
      <c r="G254" s="10" t="str">
        <f>IFERROR(__xludf.DUMMYFUNCTION("""COMPUTED_VALUE"""),"■商品卡$200")</f>
        <v>■商品卡$200</v>
      </c>
      <c r="H254" s="9"/>
    </row>
    <row r="255">
      <c r="A255" s="5" t="s">
        <v>9</v>
      </c>
      <c r="B255" s="9" t="str">
        <f>IFERROR(__xludf.DUMMYFUNCTION("""COMPUTED_VALUE"""),"黃O諺")</f>
        <v>黃O諺</v>
      </c>
      <c r="C255" s="9" t="str">
        <f>IFERROR(__xludf.DUMMYFUNCTION("""COMPUTED_VALUE"""),"s11*****8@nhsh.tp.edu.tw")</f>
        <v>s11*****8@nhsh.tp.edu.tw</v>
      </c>
      <c r="D255" s="9" t="str">
        <f>IFERROR(__xludf.DUMMYFUNCTION("""COMPUTED_VALUE"""),"臺北市立內湖高級中學")</f>
        <v>臺北市立內湖高級中學</v>
      </c>
      <c r="E255" s="9" t="str">
        <f>IFERROR(__xludf.DUMMYFUNCTION("""COMPUTED_VALUE"""),"普通科")</f>
        <v>普通科</v>
      </c>
      <c r="F255" s="9" t="str">
        <f>IFERROR(__xludf.DUMMYFUNCTION("""COMPUTED_VALUE"""),"三年級")</f>
        <v>三年級</v>
      </c>
      <c r="G255" s="10" t="str">
        <f>IFERROR(__xludf.DUMMYFUNCTION("""COMPUTED_VALUE"""),"■商品卡$200")</f>
        <v>■商品卡$200</v>
      </c>
      <c r="H255" s="9"/>
    </row>
    <row r="256">
      <c r="A256" s="5" t="s">
        <v>9</v>
      </c>
      <c r="B256" s="9" t="str">
        <f>IFERROR(__xludf.DUMMYFUNCTION("""COMPUTED_VALUE"""),"江O均")</f>
        <v>江O均</v>
      </c>
      <c r="C256" s="9" t="str">
        <f>IFERROR(__xludf.DUMMYFUNCTION("""COMPUTED_VALUE"""),"s11*****5@nhsh.tp.edu.tw")</f>
        <v>s11*****5@nhsh.tp.edu.tw</v>
      </c>
      <c r="D256" s="9" t="str">
        <f>IFERROR(__xludf.DUMMYFUNCTION("""COMPUTED_VALUE"""),"臺北市立內湖高級中學")</f>
        <v>臺北市立內湖高級中學</v>
      </c>
      <c r="E256" s="9" t="str">
        <f>IFERROR(__xludf.DUMMYFUNCTION("""COMPUTED_VALUE"""),"普通科")</f>
        <v>普通科</v>
      </c>
      <c r="F256" s="9" t="str">
        <f>IFERROR(__xludf.DUMMYFUNCTION("""COMPUTED_VALUE"""),"三年級")</f>
        <v>三年級</v>
      </c>
      <c r="G256" s="10" t="str">
        <f>IFERROR(__xludf.DUMMYFUNCTION("""COMPUTED_VALUE"""),"獎狀")</f>
        <v>獎狀</v>
      </c>
      <c r="H256" s="9"/>
    </row>
    <row r="257">
      <c r="A257" s="5" t="s">
        <v>9</v>
      </c>
      <c r="B257" s="9" t="str">
        <f>IFERROR(__xludf.DUMMYFUNCTION("""COMPUTED_VALUE"""),"王O喆")</f>
        <v>王O喆</v>
      </c>
      <c r="C257" s="9" t="str">
        <f>IFERROR(__xludf.DUMMYFUNCTION("""COMPUTED_VALUE"""),"s11*****4@nhsh.tp.edu.tw")</f>
        <v>s11*****4@nhsh.tp.edu.tw</v>
      </c>
      <c r="D257" s="9" t="str">
        <f>IFERROR(__xludf.DUMMYFUNCTION("""COMPUTED_VALUE"""),"臺北市立內湖高級中學")</f>
        <v>臺北市立內湖高級中學</v>
      </c>
      <c r="E257" s="9" t="str">
        <f>IFERROR(__xludf.DUMMYFUNCTION("""COMPUTED_VALUE"""),"普通科")</f>
        <v>普通科</v>
      </c>
      <c r="F257" s="9" t="str">
        <f>IFERROR(__xludf.DUMMYFUNCTION("""COMPUTED_VALUE"""),"三年級")</f>
        <v>三年級</v>
      </c>
      <c r="G257" s="10" t="str">
        <f>IFERROR(__xludf.DUMMYFUNCTION("""COMPUTED_VALUE"""),"獎狀")</f>
        <v>獎狀</v>
      </c>
      <c r="H257" s="9"/>
    </row>
    <row r="258">
      <c r="A258" s="5" t="s">
        <v>9</v>
      </c>
      <c r="B258" s="9" t="str">
        <f>IFERROR(__xludf.DUMMYFUNCTION("""COMPUTED_VALUE"""),"游O蓁")</f>
        <v>游O蓁</v>
      </c>
      <c r="C258" s="9" t="str">
        <f>IFERROR(__xludf.DUMMYFUNCTION("""COMPUTED_VALUE"""),"s11*****4@nhsh.tp.edu.tw")</f>
        <v>s11*****4@nhsh.tp.edu.tw</v>
      </c>
      <c r="D258" s="9" t="str">
        <f>IFERROR(__xludf.DUMMYFUNCTION("""COMPUTED_VALUE"""),"臺北市立內湖高級中學")</f>
        <v>臺北市立內湖高級中學</v>
      </c>
      <c r="E258" s="9" t="str">
        <f>IFERROR(__xludf.DUMMYFUNCTION("""COMPUTED_VALUE"""),"普通科")</f>
        <v>普通科</v>
      </c>
      <c r="F258" s="9" t="str">
        <f>IFERROR(__xludf.DUMMYFUNCTION("""COMPUTED_VALUE"""),"三年級")</f>
        <v>三年級</v>
      </c>
      <c r="G258" s="10" t="str">
        <f>IFERROR(__xludf.DUMMYFUNCTION("""COMPUTED_VALUE"""),"獎狀")</f>
        <v>獎狀</v>
      </c>
      <c r="H258" s="9"/>
    </row>
    <row r="259">
      <c r="A259" s="5" t="s">
        <v>9</v>
      </c>
      <c r="B259" s="9" t="str">
        <f>IFERROR(__xludf.DUMMYFUNCTION("""COMPUTED_VALUE"""),"陳O甄")</f>
        <v>陳O甄</v>
      </c>
      <c r="C259" s="9" t="str">
        <f>IFERROR(__xludf.DUMMYFUNCTION("""COMPUTED_VALUE"""),"s11*****8@nhsh.tp.edu.tw")</f>
        <v>s11*****8@nhsh.tp.edu.tw</v>
      </c>
      <c r="D259" s="9" t="str">
        <f>IFERROR(__xludf.DUMMYFUNCTION("""COMPUTED_VALUE"""),"臺北市立內湖高級中學")</f>
        <v>臺北市立內湖高級中學</v>
      </c>
      <c r="E259" s="9" t="str">
        <f>IFERROR(__xludf.DUMMYFUNCTION("""COMPUTED_VALUE"""),"普通科")</f>
        <v>普通科</v>
      </c>
      <c r="F259" s="9" t="str">
        <f>IFERROR(__xludf.DUMMYFUNCTION("""COMPUTED_VALUE"""),"三年級")</f>
        <v>三年級</v>
      </c>
      <c r="G259" s="10" t="str">
        <f>IFERROR(__xludf.DUMMYFUNCTION("""COMPUTED_VALUE"""),"獎狀")</f>
        <v>獎狀</v>
      </c>
      <c r="H259" s="9"/>
    </row>
    <row r="260">
      <c r="A260" s="5" t="s">
        <v>9</v>
      </c>
      <c r="B260" s="9" t="str">
        <f>IFERROR(__xludf.DUMMYFUNCTION("""COMPUTED_VALUE"""),"張O微")</f>
        <v>張O微</v>
      </c>
      <c r="C260" s="9" t="str">
        <f>IFERROR(__xludf.DUMMYFUNCTION("""COMPUTED_VALUE"""),"s11*****6@nhsh.tp.edu.tw")</f>
        <v>s11*****6@nhsh.tp.edu.tw</v>
      </c>
      <c r="D260" s="9" t="str">
        <f>IFERROR(__xludf.DUMMYFUNCTION("""COMPUTED_VALUE"""),"臺北市立內湖高級中學")</f>
        <v>臺北市立內湖高級中學</v>
      </c>
      <c r="E260" s="9" t="str">
        <f>IFERROR(__xludf.DUMMYFUNCTION("""COMPUTED_VALUE"""),"普通科")</f>
        <v>普通科</v>
      </c>
      <c r="F260" s="9" t="str">
        <f>IFERROR(__xludf.DUMMYFUNCTION("""COMPUTED_VALUE"""),"三年級")</f>
        <v>三年級</v>
      </c>
      <c r="G260" s="10" t="str">
        <f>IFERROR(__xludf.DUMMYFUNCTION("""COMPUTED_VALUE"""),"獎狀")</f>
        <v>獎狀</v>
      </c>
      <c r="H260" s="9"/>
    </row>
    <row r="261">
      <c r="A261" s="5" t="s">
        <v>9</v>
      </c>
      <c r="B261" s="9" t="str">
        <f>IFERROR(__xludf.DUMMYFUNCTION("""COMPUTED_VALUE"""),"柯O云")</f>
        <v>柯O云</v>
      </c>
      <c r="C261" s="9" t="str">
        <f>IFERROR(__xludf.DUMMYFUNCTION("""COMPUTED_VALUE"""),"s11*****9@nhsh.tp.edu.tw")</f>
        <v>s11*****9@nhsh.tp.edu.tw</v>
      </c>
      <c r="D261" s="9" t="str">
        <f>IFERROR(__xludf.DUMMYFUNCTION("""COMPUTED_VALUE"""),"臺北市立內湖高級中學")</f>
        <v>臺北市立內湖高級中學</v>
      </c>
      <c r="E261" s="9" t="str">
        <f>IFERROR(__xludf.DUMMYFUNCTION("""COMPUTED_VALUE"""),"普通科")</f>
        <v>普通科</v>
      </c>
      <c r="F261" s="9" t="str">
        <f>IFERROR(__xludf.DUMMYFUNCTION("""COMPUTED_VALUE"""),"三年級")</f>
        <v>三年級</v>
      </c>
      <c r="G261" s="10" t="str">
        <f>IFERROR(__xludf.DUMMYFUNCTION("""COMPUTED_VALUE"""),"獎狀")</f>
        <v>獎狀</v>
      </c>
      <c r="H261" s="9"/>
    </row>
    <row r="262">
      <c r="A262" s="5" t="s">
        <v>9</v>
      </c>
      <c r="B262" s="9" t="str">
        <f>IFERROR(__xludf.DUMMYFUNCTION("""COMPUTED_VALUE"""),"劉O妍")</f>
        <v>劉O妍</v>
      </c>
      <c r="C262" s="9" t="str">
        <f>IFERROR(__xludf.DUMMYFUNCTION("""COMPUTED_VALUE"""),"s11*****2@nhsh.tp.edu.tw")</f>
        <v>s11*****2@nhsh.tp.edu.tw</v>
      </c>
      <c r="D262" s="9" t="str">
        <f>IFERROR(__xludf.DUMMYFUNCTION("""COMPUTED_VALUE"""),"臺北市立內湖高級中學")</f>
        <v>臺北市立內湖高級中學</v>
      </c>
      <c r="E262" s="9" t="str">
        <f>IFERROR(__xludf.DUMMYFUNCTION("""COMPUTED_VALUE"""),"普通科")</f>
        <v>普通科</v>
      </c>
      <c r="F262" s="9" t="str">
        <f>IFERROR(__xludf.DUMMYFUNCTION("""COMPUTED_VALUE"""),"三年級")</f>
        <v>三年級</v>
      </c>
      <c r="G262" s="10" t="str">
        <f>IFERROR(__xludf.DUMMYFUNCTION("""COMPUTED_VALUE"""),"★商品卡$1000")</f>
        <v>★商品卡$1000</v>
      </c>
      <c r="H262" s="9"/>
    </row>
    <row r="263">
      <c r="A263" s="5" t="s">
        <v>9</v>
      </c>
      <c r="B263" s="9" t="str">
        <f>IFERROR(__xludf.DUMMYFUNCTION("""COMPUTED_VALUE"""),"朱O雅")</f>
        <v>朱O雅</v>
      </c>
      <c r="C263" s="9" t="str">
        <f>IFERROR(__xludf.DUMMYFUNCTION("""COMPUTED_VALUE"""),"s11*****7@nhsh.tp.edu.tw")</f>
        <v>s11*****7@nhsh.tp.edu.tw</v>
      </c>
      <c r="D263" s="9" t="str">
        <f>IFERROR(__xludf.DUMMYFUNCTION("""COMPUTED_VALUE"""),"臺北市立內湖高級中學")</f>
        <v>臺北市立內湖高級中學</v>
      </c>
      <c r="E263" s="9" t="str">
        <f>IFERROR(__xludf.DUMMYFUNCTION("""COMPUTED_VALUE"""),"普通科")</f>
        <v>普通科</v>
      </c>
      <c r="F263" s="9" t="str">
        <f>IFERROR(__xludf.DUMMYFUNCTION("""COMPUTED_VALUE"""),"三年級")</f>
        <v>三年級</v>
      </c>
      <c r="G263" s="10" t="str">
        <f>IFERROR(__xludf.DUMMYFUNCTION("""COMPUTED_VALUE"""),"獎狀")</f>
        <v>獎狀</v>
      </c>
      <c r="H263" s="9"/>
    </row>
    <row r="264">
      <c r="A264" s="5" t="s">
        <v>9</v>
      </c>
      <c r="B264" s="9" t="str">
        <f>IFERROR(__xludf.DUMMYFUNCTION("""COMPUTED_VALUE"""),"林O勝")</f>
        <v>林O勝</v>
      </c>
      <c r="C264" s="9" t="str">
        <f>IFERROR(__xludf.DUMMYFUNCTION("""COMPUTED_VALUE"""),"s11*****4@nhsh.tp.edu.tw")</f>
        <v>s11*****4@nhsh.tp.edu.tw</v>
      </c>
      <c r="D264" s="9" t="str">
        <f>IFERROR(__xludf.DUMMYFUNCTION("""COMPUTED_VALUE"""),"臺北市立內湖高級中學")</f>
        <v>臺北市立內湖高級中學</v>
      </c>
      <c r="E264" s="9" t="str">
        <f>IFERROR(__xludf.DUMMYFUNCTION("""COMPUTED_VALUE"""),"普通科")</f>
        <v>普通科</v>
      </c>
      <c r="F264" s="9" t="str">
        <f>IFERROR(__xludf.DUMMYFUNCTION("""COMPUTED_VALUE"""),"三年級")</f>
        <v>三年級</v>
      </c>
      <c r="G264" s="10" t="str">
        <f>IFERROR(__xludf.DUMMYFUNCTION("""COMPUTED_VALUE"""),"獎狀")</f>
        <v>獎狀</v>
      </c>
      <c r="H264" s="9"/>
    </row>
    <row r="265">
      <c r="A265" s="5" t="s">
        <v>9</v>
      </c>
      <c r="B265" s="9" t="str">
        <f>IFERROR(__xludf.DUMMYFUNCTION("""COMPUTED_VALUE"""),"陳O樺")</f>
        <v>陳O樺</v>
      </c>
      <c r="C265" s="9" t="str">
        <f>IFERROR(__xludf.DUMMYFUNCTION("""COMPUTED_VALUE"""),"s11*****9@nhsh.tp.edu.tw")</f>
        <v>s11*****9@nhsh.tp.edu.tw</v>
      </c>
      <c r="D265" s="9" t="str">
        <f>IFERROR(__xludf.DUMMYFUNCTION("""COMPUTED_VALUE"""),"臺北市立內湖高級中學")</f>
        <v>臺北市立內湖高級中學</v>
      </c>
      <c r="E265" s="9" t="str">
        <f>IFERROR(__xludf.DUMMYFUNCTION("""COMPUTED_VALUE"""),"普通科")</f>
        <v>普通科</v>
      </c>
      <c r="F265" s="9" t="str">
        <f>IFERROR(__xludf.DUMMYFUNCTION("""COMPUTED_VALUE"""),"三年級")</f>
        <v>三年級</v>
      </c>
      <c r="G265" s="10" t="str">
        <f>IFERROR(__xludf.DUMMYFUNCTION("""COMPUTED_VALUE"""),"獎狀")</f>
        <v>獎狀</v>
      </c>
      <c r="H265" s="9"/>
    </row>
    <row r="266">
      <c r="A266" s="5" t="s">
        <v>9</v>
      </c>
      <c r="B266" s="9" t="str">
        <f>IFERROR(__xludf.DUMMYFUNCTION("""COMPUTED_VALUE"""),"董O嫻")</f>
        <v>董O嫻</v>
      </c>
      <c r="C266" s="9" t="str">
        <f>IFERROR(__xludf.DUMMYFUNCTION("""COMPUTED_VALUE"""),"s11*****2@nhsh.tp.edu.tw")</f>
        <v>s11*****2@nhsh.tp.edu.tw</v>
      </c>
      <c r="D266" s="9" t="str">
        <f>IFERROR(__xludf.DUMMYFUNCTION("""COMPUTED_VALUE"""),"臺北市立內湖高級中學")</f>
        <v>臺北市立內湖高級中學</v>
      </c>
      <c r="E266" s="9" t="str">
        <f>IFERROR(__xludf.DUMMYFUNCTION("""COMPUTED_VALUE"""),"普通科")</f>
        <v>普通科</v>
      </c>
      <c r="F266" s="9" t="str">
        <f>IFERROR(__xludf.DUMMYFUNCTION("""COMPUTED_VALUE"""),"三年級")</f>
        <v>三年級</v>
      </c>
      <c r="G266" s="10" t="str">
        <f>IFERROR(__xludf.DUMMYFUNCTION("""COMPUTED_VALUE"""),"獎狀")</f>
        <v>獎狀</v>
      </c>
      <c r="H266" s="9"/>
    </row>
    <row r="267">
      <c r="A267" s="5" t="s">
        <v>9</v>
      </c>
      <c r="B267" s="9" t="str">
        <f>IFERROR(__xludf.DUMMYFUNCTION("""COMPUTED_VALUE"""),"錢O廷")</f>
        <v>錢O廷</v>
      </c>
      <c r="C267" s="9" t="str">
        <f>IFERROR(__xludf.DUMMYFUNCTION("""COMPUTED_VALUE"""),"s11*****2@nhsh.tp.edu.tw")</f>
        <v>s11*****2@nhsh.tp.edu.tw</v>
      </c>
      <c r="D267" s="9" t="str">
        <f>IFERROR(__xludf.DUMMYFUNCTION("""COMPUTED_VALUE"""),"臺北市立內湖高級中學")</f>
        <v>臺北市立內湖高級中學</v>
      </c>
      <c r="E267" s="9" t="str">
        <f>IFERROR(__xludf.DUMMYFUNCTION("""COMPUTED_VALUE"""),"普通科")</f>
        <v>普通科</v>
      </c>
      <c r="F267" s="9" t="str">
        <f>IFERROR(__xludf.DUMMYFUNCTION("""COMPUTED_VALUE"""),"三年級")</f>
        <v>三年級</v>
      </c>
      <c r="G267" s="10" t="str">
        <f>IFERROR(__xludf.DUMMYFUNCTION("""COMPUTED_VALUE"""),"獎狀")</f>
        <v>獎狀</v>
      </c>
      <c r="H267" s="9"/>
    </row>
    <row r="268">
      <c r="A268" s="5" t="s">
        <v>9</v>
      </c>
      <c r="B268" s="9" t="str">
        <f>IFERROR(__xludf.DUMMYFUNCTION("""COMPUTED_VALUE"""),"陳O安")</f>
        <v>陳O安</v>
      </c>
      <c r="C268" s="9" t="str">
        <f>IFERROR(__xludf.DUMMYFUNCTION("""COMPUTED_VALUE"""),"s11*****0@nhsh.tp.edu.tw")</f>
        <v>s11*****0@nhsh.tp.edu.tw</v>
      </c>
      <c r="D268" s="9" t="str">
        <f>IFERROR(__xludf.DUMMYFUNCTION("""COMPUTED_VALUE"""),"臺北市立內湖高級中學")</f>
        <v>臺北市立內湖高級中學</v>
      </c>
      <c r="E268" s="9" t="str">
        <f>IFERROR(__xludf.DUMMYFUNCTION("""COMPUTED_VALUE"""),"普通科")</f>
        <v>普通科</v>
      </c>
      <c r="F268" s="9" t="str">
        <f>IFERROR(__xludf.DUMMYFUNCTION("""COMPUTED_VALUE"""),"三年級")</f>
        <v>三年級</v>
      </c>
      <c r="G268" s="10" t="str">
        <f>IFERROR(__xludf.DUMMYFUNCTION("""COMPUTED_VALUE"""),"獎狀")</f>
        <v>獎狀</v>
      </c>
      <c r="H268" s="11"/>
    </row>
    <row r="269">
      <c r="A269" s="5" t="s">
        <v>9</v>
      </c>
      <c r="B269" s="9" t="str">
        <f>IFERROR(__xludf.DUMMYFUNCTION("""COMPUTED_VALUE"""),"李O勳")</f>
        <v>李O勳</v>
      </c>
      <c r="C269" s="9" t="str">
        <f>IFERROR(__xludf.DUMMYFUNCTION("""COMPUTED_VALUE"""),"u11*****6@lssh.tp.edu.tw")</f>
        <v>u11*****6@lssh.tp.edu.tw</v>
      </c>
      <c r="D269" s="9" t="str">
        <f>IFERROR(__xludf.DUMMYFUNCTION("""COMPUTED_VALUE"""),"臺北市立麗山高級中學")</f>
        <v>臺北市立麗山高級中學</v>
      </c>
      <c r="E269" s="9" t="str">
        <f>IFERROR(__xludf.DUMMYFUNCTION("""COMPUTED_VALUE"""),"普通科")</f>
        <v>普通科</v>
      </c>
      <c r="F269" s="9" t="str">
        <f>IFERROR(__xludf.DUMMYFUNCTION("""COMPUTED_VALUE"""),"二年級")</f>
        <v>二年級</v>
      </c>
      <c r="G269" s="10" t="str">
        <f>IFERROR(__xludf.DUMMYFUNCTION("""COMPUTED_VALUE"""),"獎狀")</f>
        <v>獎狀</v>
      </c>
      <c r="H269" s="11"/>
    </row>
    <row r="270">
      <c r="A270" s="5" t="s">
        <v>9</v>
      </c>
      <c r="B270" s="9" t="str">
        <f>IFERROR(__xludf.DUMMYFUNCTION("""COMPUTED_VALUE"""),"張O涵")</f>
        <v>張O涵</v>
      </c>
      <c r="C270" s="9" t="str">
        <f>IFERROR(__xludf.DUMMYFUNCTION("""COMPUTED_VALUE"""),"dor*****g97@gmail.com")</f>
        <v>dor*****g97@gmail.com</v>
      </c>
      <c r="D270" s="9" t="str">
        <f>IFERROR(__xludf.DUMMYFUNCTION("""COMPUTED_VALUE"""),"臺北市私立東山高級中學")</f>
        <v>臺北市私立東山高級中學</v>
      </c>
      <c r="E270" s="9" t="str">
        <f>IFERROR(__xludf.DUMMYFUNCTION("""COMPUTED_VALUE"""),"普通科")</f>
        <v>普通科</v>
      </c>
      <c r="F270" s="9" t="str">
        <f>IFERROR(__xludf.DUMMYFUNCTION("""COMPUTED_VALUE"""),"二年級")</f>
        <v>二年級</v>
      </c>
      <c r="G270" s="10" t="str">
        <f>IFERROR(__xludf.DUMMYFUNCTION("""COMPUTED_VALUE"""),"獎狀")</f>
        <v>獎狀</v>
      </c>
      <c r="H270" s="9"/>
    </row>
    <row r="271">
      <c r="A271" s="5" t="s">
        <v>9</v>
      </c>
      <c r="B271" s="9" t="str">
        <f>IFERROR(__xludf.DUMMYFUNCTION("""COMPUTED_VALUE"""),"黃O睿")</f>
        <v>黃O睿</v>
      </c>
      <c r="C271" s="9" t="str">
        <f>IFERROR(__xludf.DUMMYFUNCTION("""COMPUTED_VALUE"""),"ths*****5128@mail.edu.tw")</f>
        <v>ths*****5128@mail.edu.tw</v>
      </c>
      <c r="D271" s="9" t="str">
        <f>IFERROR(__xludf.DUMMYFUNCTION("""COMPUTED_VALUE"""),"臺北市私立再興高級中學")</f>
        <v>臺北市私立再興高級中學</v>
      </c>
      <c r="E271" s="9" t="str">
        <f>IFERROR(__xludf.DUMMYFUNCTION("""COMPUTED_VALUE"""),"普通科")</f>
        <v>普通科</v>
      </c>
      <c r="F271" s="9" t="str">
        <f>IFERROR(__xludf.DUMMYFUNCTION("""COMPUTED_VALUE"""),"一年級")</f>
        <v>一年級</v>
      </c>
      <c r="G271" s="10" t="str">
        <f>IFERROR(__xludf.DUMMYFUNCTION("""COMPUTED_VALUE"""),"獎狀")</f>
        <v>獎狀</v>
      </c>
      <c r="H271" s="9"/>
    </row>
    <row r="272">
      <c r="A272" s="5" t="s">
        <v>9</v>
      </c>
      <c r="B272" s="9" t="str">
        <f>IFERROR(__xludf.DUMMYFUNCTION("""COMPUTED_VALUE"""),"吳O珊")</f>
        <v>吳O珊</v>
      </c>
      <c r="C272" s="9" t="str">
        <f>IFERROR(__xludf.DUMMYFUNCTION("""COMPUTED_VALUE"""),"112*****@st.thsh.tp.edu.tw")</f>
        <v>112*****@st.thsh.tp.edu.tw</v>
      </c>
      <c r="D272" s="9" t="str">
        <f>IFERROR(__xludf.DUMMYFUNCTION("""COMPUTED_VALUE"""),"臺北市私立再興高級中學")</f>
        <v>臺北市私立再興高級中學</v>
      </c>
      <c r="E272" s="9" t="str">
        <f>IFERROR(__xludf.DUMMYFUNCTION("""COMPUTED_VALUE"""),"普通科")</f>
        <v>普通科</v>
      </c>
      <c r="F272" s="9" t="str">
        <f>IFERROR(__xludf.DUMMYFUNCTION("""COMPUTED_VALUE"""),"三年級")</f>
        <v>三年級</v>
      </c>
      <c r="G272" s="10" t="str">
        <f>IFERROR(__xludf.DUMMYFUNCTION("""COMPUTED_VALUE"""),"獎狀")</f>
        <v>獎狀</v>
      </c>
      <c r="H272" s="9"/>
    </row>
    <row r="273">
      <c r="A273" s="5" t="s">
        <v>9</v>
      </c>
      <c r="B273" s="9" t="str">
        <f>IFERROR(__xludf.DUMMYFUNCTION("""COMPUTED_VALUE"""),"黃O雅")</f>
        <v>黃O雅</v>
      </c>
      <c r="C273" s="9" t="str">
        <f>IFERROR(__xludf.DUMMYFUNCTION("""COMPUTED_VALUE"""),"hua*****nya0627@gmail.com")</f>
        <v>hua*****nya0627@gmail.com</v>
      </c>
      <c r="D273" s="9" t="str">
        <f>IFERROR(__xludf.DUMMYFUNCTION("""COMPUTED_VALUE"""),"臺北市高級中等教育階段非學校型態實驗教育學生")</f>
        <v>臺北市高級中等教育階段非學校型態實驗教育學生</v>
      </c>
      <c r="E273" s="9" t="str">
        <f>IFERROR(__xludf.DUMMYFUNCTION("""COMPUTED_VALUE"""),"自學生")</f>
        <v>自學生</v>
      </c>
      <c r="F273" s="9" t="str">
        <f>IFERROR(__xludf.DUMMYFUNCTION("""COMPUTED_VALUE"""),"三年級")</f>
        <v>三年級</v>
      </c>
      <c r="G273" s="10" t="str">
        <f>IFERROR(__xludf.DUMMYFUNCTION("""COMPUTED_VALUE"""),"獎狀")</f>
        <v>獎狀</v>
      </c>
      <c r="H273" s="11"/>
    </row>
    <row r="274">
      <c r="A274" s="5" t="s">
        <v>9</v>
      </c>
      <c r="B274" s="9" t="str">
        <f>IFERROR(__xludf.DUMMYFUNCTION("""COMPUTED_VALUE"""),"秦O芯")</f>
        <v>秦O芯</v>
      </c>
      <c r="C274" s="9" t="str">
        <f>IFERROR(__xludf.DUMMYFUNCTION("""COMPUTED_VALUE"""),"c10*****8@gmail.com")</f>
        <v>c10*****8@gmail.com</v>
      </c>
      <c r="D274" s="9" t="str">
        <f>IFERROR(__xludf.DUMMYFUNCTION("""COMPUTED_VALUE"""),"臺北市立景美女子高級中學")</f>
        <v>臺北市立景美女子高級中學</v>
      </c>
      <c r="E274" s="9" t="str">
        <f>IFERROR(__xludf.DUMMYFUNCTION("""COMPUTED_VALUE"""),"普通科")</f>
        <v>普通科</v>
      </c>
      <c r="F274" s="9" t="str">
        <f>IFERROR(__xludf.DUMMYFUNCTION("""COMPUTED_VALUE"""),"一年級")</f>
        <v>一年級</v>
      </c>
      <c r="G274" s="10" t="str">
        <f>IFERROR(__xludf.DUMMYFUNCTION("""COMPUTED_VALUE"""),"獎狀")</f>
        <v>獎狀</v>
      </c>
      <c r="H274" s="11"/>
    </row>
    <row r="275">
      <c r="A275" s="5" t="s">
        <v>9</v>
      </c>
      <c r="B275" s="9" t="str">
        <f>IFERROR(__xludf.DUMMYFUNCTION("""COMPUTED_VALUE"""),"翁O棻")</f>
        <v>翁O棻</v>
      </c>
      <c r="C275" s="9" t="str">
        <f>IFERROR(__xludf.DUMMYFUNCTION("""COMPUTED_VALUE"""),"jul*****4@apps.ntpc.edu.tw")</f>
        <v>jul*****4@apps.ntpc.edu.tw</v>
      </c>
      <c r="D275" s="9" t="str">
        <f>IFERROR(__xludf.DUMMYFUNCTION("""COMPUTED_VALUE"""),"臺北市立景美女子高級中學")</f>
        <v>臺北市立景美女子高級中學</v>
      </c>
      <c r="E275" s="9" t="str">
        <f>IFERROR(__xludf.DUMMYFUNCTION("""COMPUTED_VALUE"""),"普通科")</f>
        <v>普通科</v>
      </c>
      <c r="F275" s="9" t="str">
        <f>IFERROR(__xludf.DUMMYFUNCTION("""COMPUTED_VALUE"""),"一年級")</f>
        <v>一年級</v>
      </c>
      <c r="G275" s="10" t="str">
        <f>IFERROR(__xludf.DUMMYFUNCTION("""COMPUTED_VALUE"""),"獎狀")</f>
        <v>獎狀</v>
      </c>
      <c r="H275" s="11"/>
    </row>
    <row r="276">
      <c r="A276" s="5" t="s">
        <v>9</v>
      </c>
      <c r="B276" s="9" t="str">
        <f>IFERROR(__xludf.DUMMYFUNCTION("""COMPUTED_VALUE"""),"黃O霏")</f>
        <v>黃O霏</v>
      </c>
      <c r="C276" s="9" t="str">
        <f>IFERROR(__xludf.DUMMYFUNCTION("""COMPUTED_VALUE"""),"113*****@cmgsh.tp.edu.tw")</f>
        <v>113*****@cmgsh.tp.edu.tw</v>
      </c>
      <c r="D276" s="9" t="str">
        <f>IFERROR(__xludf.DUMMYFUNCTION("""COMPUTED_VALUE"""),"臺北市立景美女子高級中學")</f>
        <v>臺北市立景美女子高級中學</v>
      </c>
      <c r="E276" s="9" t="str">
        <f>IFERROR(__xludf.DUMMYFUNCTION("""COMPUTED_VALUE"""),"普通科")</f>
        <v>普通科</v>
      </c>
      <c r="F276" s="9" t="str">
        <f>IFERROR(__xludf.DUMMYFUNCTION("""COMPUTED_VALUE"""),"一年級")</f>
        <v>一年級</v>
      </c>
      <c r="G276" s="10" t="str">
        <f>IFERROR(__xludf.DUMMYFUNCTION("""COMPUTED_VALUE"""),"獎狀")</f>
        <v>獎狀</v>
      </c>
      <c r="H276" s="9"/>
    </row>
    <row r="277">
      <c r="A277" s="5" t="s">
        <v>9</v>
      </c>
      <c r="B277" s="9" t="str">
        <f>IFERROR(__xludf.DUMMYFUNCTION("""COMPUTED_VALUE"""),"黃O彤")</f>
        <v>黃O彤</v>
      </c>
      <c r="C277" s="9" t="str">
        <f>IFERROR(__xludf.DUMMYFUNCTION("""COMPUTED_VALUE"""),"nin*****243@gmail.com")</f>
        <v>nin*****243@gmail.com</v>
      </c>
      <c r="D277" s="9" t="str">
        <f>IFERROR(__xludf.DUMMYFUNCTION("""COMPUTED_VALUE"""),"臺北市立景美女子高級中學")</f>
        <v>臺北市立景美女子高級中學</v>
      </c>
      <c r="E277" s="9" t="str">
        <f>IFERROR(__xludf.DUMMYFUNCTION("""COMPUTED_VALUE"""),"普通科")</f>
        <v>普通科</v>
      </c>
      <c r="F277" s="9" t="str">
        <f>IFERROR(__xludf.DUMMYFUNCTION("""COMPUTED_VALUE"""),"二年級")</f>
        <v>二年級</v>
      </c>
      <c r="G277" s="10" t="str">
        <f>IFERROR(__xludf.DUMMYFUNCTION("""COMPUTED_VALUE"""),"獎狀")</f>
        <v>獎狀</v>
      </c>
      <c r="H277" s="9"/>
    </row>
    <row r="278">
      <c r="A278" s="5" t="s">
        <v>9</v>
      </c>
      <c r="B278" s="9" t="str">
        <f>IFERROR(__xludf.DUMMYFUNCTION("""COMPUTED_VALUE"""),"黃O婷")</f>
        <v>黃O婷</v>
      </c>
      <c r="C278" s="9" t="str">
        <f>IFERROR(__xludf.DUMMYFUNCTION("""COMPUTED_VALUE"""),"yut*****ang0318@gmail.com")</f>
        <v>yut*****ang0318@gmail.com</v>
      </c>
      <c r="D278" s="9" t="str">
        <f>IFERROR(__xludf.DUMMYFUNCTION("""COMPUTED_VALUE"""),"臺北市立景美女子高級中學")</f>
        <v>臺北市立景美女子高級中學</v>
      </c>
      <c r="E278" s="9" t="str">
        <f>IFERROR(__xludf.DUMMYFUNCTION("""COMPUTED_VALUE"""),"普通科")</f>
        <v>普通科</v>
      </c>
      <c r="F278" s="9" t="str">
        <f>IFERROR(__xludf.DUMMYFUNCTION("""COMPUTED_VALUE"""),"三年級")</f>
        <v>三年級</v>
      </c>
      <c r="G278" s="10" t="str">
        <f>IFERROR(__xludf.DUMMYFUNCTION("""COMPUTED_VALUE"""),"獎狀")</f>
        <v>獎狀</v>
      </c>
      <c r="H278" s="11"/>
    </row>
    <row r="279">
      <c r="A279" s="5" t="s">
        <v>9</v>
      </c>
      <c r="B279" s="9" t="str">
        <f>IFERROR(__xludf.DUMMYFUNCTION("""COMPUTED_VALUE"""),"林O鎧")</f>
        <v>林O鎧</v>
      </c>
      <c r="C279" s="9" t="str">
        <f>IFERROR(__xludf.DUMMYFUNCTION("""COMPUTED_VALUE"""),"105*****xes.tp.edu.tw")</f>
        <v>105*****xes.tp.edu.tw</v>
      </c>
      <c r="D279" s="9" t="str">
        <f>IFERROR(__xludf.DUMMYFUNCTION("""COMPUTED_VALUE"""),"臺北市立萬芳高級中學")</f>
        <v>臺北市立萬芳高級中學</v>
      </c>
      <c r="E279" s="9" t="str">
        <f>IFERROR(__xludf.DUMMYFUNCTION("""COMPUTED_VALUE"""),"普通科")</f>
        <v>普通科</v>
      </c>
      <c r="F279" s="9" t="str">
        <f>IFERROR(__xludf.DUMMYFUNCTION("""COMPUTED_VALUE"""),"一年級")</f>
        <v>一年級</v>
      </c>
      <c r="G279" s="10" t="str">
        <f>IFERROR(__xludf.DUMMYFUNCTION("""COMPUTED_VALUE"""),"獎狀")</f>
        <v>獎狀</v>
      </c>
      <c r="H279" s="11"/>
    </row>
    <row r="280">
      <c r="A280" s="5" t="s">
        <v>9</v>
      </c>
      <c r="B280" s="9" t="str">
        <f>IFERROR(__xludf.DUMMYFUNCTION("""COMPUTED_VALUE"""),"林O媗")</f>
        <v>林O媗</v>
      </c>
      <c r="C280" s="9" t="str">
        <f>IFERROR(__xludf.DUMMYFUNCTION("""COMPUTED_VALUE"""),"cha*****lin0524@gmail.com")</f>
        <v>cha*****lin0524@gmail.com</v>
      </c>
      <c r="D280" s="9" t="str">
        <f>IFERROR(__xludf.DUMMYFUNCTION("""COMPUTED_VALUE"""),"國立基隆女子高級中學")</f>
        <v>國立基隆女子高級中學</v>
      </c>
      <c r="E280" s="9" t="str">
        <f>IFERROR(__xludf.DUMMYFUNCTION("""COMPUTED_VALUE"""),"普通科")</f>
        <v>普通科</v>
      </c>
      <c r="F280" s="9" t="str">
        <f>IFERROR(__xludf.DUMMYFUNCTION("""COMPUTED_VALUE"""),"三年級")</f>
        <v>三年級</v>
      </c>
      <c r="G280" s="10" t="str">
        <f>IFERROR(__xludf.DUMMYFUNCTION("""COMPUTED_VALUE"""),"獎狀")</f>
        <v>獎狀</v>
      </c>
      <c r="H280" s="11"/>
    </row>
    <row r="281">
      <c r="A281" s="5" t="s">
        <v>9</v>
      </c>
      <c r="B281" s="9" t="str">
        <f>IFERROR(__xludf.DUMMYFUNCTION("""COMPUTED_VALUE"""),"林O岑")</f>
        <v>林O岑</v>
      </c>
      <c r="C281" s="9" t="str">
        <f>IFERROR(__xludf.DUMMYFUNCTION("""COMPUTED_VALUE"""),"100*****uite.essh.kl.edu.tw")</f>
        <v>100*****uite.essh.kl.edu.tw</v>
      </c>
      <c r="D281" s="9" t="str">
        <f>IFERROR(__xludf.DUMMYFUNCTION("""COMPUTED_VALUE"""),"二信學校財團法人基隆市二信高級中學")</f>
        <v>二信學校財團法人基隆市二信高級中學</v>
      </c>
      <c r="E281" s="9" t="str">
        <f>IFERROR(__xludf.DUMMYFUNCTION("""COMPUTED_VALUE"""),"普通科")</f>
        <v>普通科</v>
      </c>
      <c r="F281" s="9" t="str">
        <f>IFERROR(__xludf.DUMMYFUNCTION("""COMPUTED_VALUE"""),"一年級")</f>
        <v>一年級</v>
      </c>
      <c r="G281" s="10" t="str">
        <f>IFERROR(__xludf.DUMMYFUNCTION("""COMPUTED_VALUE"""),"獎狀")</f>
        <v>獎狀</v>
      </c>
      <c r="H281" s="11"/>
    </row>
    <row r="282">
      <c r="A282" s="5" t="s">
        <v>9</v>
      </c>
      <c r="B282" s="9" t="str">
        <f>IFERROR(__xludf.DUMMYFUNCTION("""COMPUTED_VALUE"""),"宋O萱")</f>
        <v>宋O萱</v>
      </c>
      <c r="C282" s="9" t="str">
        <f>IFERROR(__xludf.DUMMYFUNCTION("""COMPUTED_VALUE"""),"101*****uite.essh.kl.edu.tw")</f>
        <v>101*****uite.essh.kl.edu.tw</v>
      </c>
      <c r="D282" s="9" t="str">
        <f>IFERROR(__xludf.DUMMYFUNCTION("""COMPUTED_VALUE"""),"二信學校財團法人基隆市二信高級中學")</f>
        <v>二信學校財團法人基隆市二信高級中學</v>
      </c>
      <c r="E282" s="9" t="str">
        <f>IFERROR(__xludf.DUMMYFUNCTION("""COMPUTED_VALUE"""),"普通科")</f>
        <v>普通科</v>
      </c>
      <c r="F282" s="9" t="str">
        <f>IFERROR(__xludf.DUMMYFUNCTION("""COMPUTED_VALUE"""),"一年級")</f>
        <v>一年級</v>
      </c>
      <c r="G282" s="10" t="str">
        <f>IFERROR(__xludf.DUMMYFUNCTION("""COMPUTED_VALUE"""),"獎狀")</f>
        <v>獎狀</v>
      </c>
      <c r="H282" s="11"/>
    </row>
    <row r="283">
      <c r="A283" s="5" t="s">
        <v>9</v>
      </c>
      <c r="B283" s="9" t="str">
        <f>IFERROR(__xludf.DUMMYFUNCTION("""COMPUTED_VALUE"""),"曾O宸")</f>
        <v>曾O宸</v>
      </c>
      <c r="C283" s="9" t="str">
        <f>IFERROR(__xludf.DUMMYFUNCTION("""COMPUTED_VALUE"""),"311*****suite.essh.kl.edu.tw")</f>
        <v>311*****suite.essh.kl.edu.tw</v>
      </c>
      <c r="D283" s="9" t="str">
        <f>IFERROR(__xludf.DUMMYFUNCTION("""COMPUTED_VALUE"""),"二信學校財團法人基隆市二信高級中學")</f>
        <v>二信學校財團法人基隆市二信高級中學</v>
      </c>
      <c r="E283" s="9" t="str">
        <f>IFERROR(__xludf.DUMMYFUNCTION("""COMPUTED_VALUE"""),"普通科")</f>
        <v>普通科</v>
      </c>
      <c r="F283" s="9" t="str">
        <f>IFERROR(__xludf.DUMMYFUNCTION("""COMPUTED_VALUE"""),"二年級")</f>
        <v>二年級</v>
      </c>
      <c r="G283" s="10" t="str">
        <f>IFERROR(__xludf.DUMMYFUNCTION("""COMPUTED_VALUE"""),"獎狀")</f>
        <v>獎狀</v>
      </c>
      <c r="H283" s="11"/>
    </row>
    <row r="284">
      <c r="A284" s="5" t="s">
        <v>9</v>
      </c>
      <c r="B284" s="9" t="str">
        <f>IFERROR(__xludf.DUMMYFUNCTION("""COMPUTED_VALUE"""),"鄭O諺")</f>
        <v>鄭O諺</v>
      </c>
      <c r="C284" s="9" t="str">
        <f>IFERROR(__xludf.DUMMYFUNCTION("""COMPUTED_VALUE"""),"211*****suite.essh.kl.edu.tw")</f>
        <v>211*****suite.essh.kl.edu.tw</v>
      </c>
      <c r="D284" s="9" t="str">
        <f>IFERROR(__xludf.DUMMYFUNCTION("""COMPUTED_VALUE"""),"二信學校財團法人基隆市二信高級中學")</f>
        <v>二信學校財團法人基隆市二信高級中學</v>
      </c>
      <c r="E284" s="9" t="str">
        <f>IFERROR(__xludf.DUMMYFUNCTION("""COMPUTED_VALUE"""),"普通科")</f>
        <v>普通科</v>
      </c>
      <c r="F284" s="9" t="str">
        <f>IFERROR(__xludf.DUMMYFUNCTION("""COMPUTED_VALUE"""),"二年級")</f>
        <v>二年級</v>
      </c>
      <c r="G284" s="10" t="str">
        <f>IFERROR(__xludf.DUMMYFUNCTION("""COMPUTED_VALUE"""),"■商品卡$200")</f>
        <v>■商品卡$200</v>
      </c>
      <c r="H284" s="9"/>
    </row>
    <row r="285">
      <c r="A285" s="5" t="s">
        <v>9</v>
      </c>
      <c r="B285" s="9" t="str">
        <f>IFERROR(__xludf.DUMMYFUNCTION("""COMPUTED_VALUE"""),"吳O淇")</f>
        <v>吳O淇</v>
      </c>
      <c r="C285" s="9" t="str">
        <f>IFERROR(__xludf.DUMMYFUNCTION("""COMPUTED_VALUE"""),"211*****suite.essh.kl.edu.tw")</f>
        <v>211*****suite.essh.kl.edu.tw</v>
      </c>
      <c r="D285" s="9" t="str">
        <f>IFERROR(__xludf.DUMMYFUNCTION("""COMPUTED_VALUE"""),"二信學校財團法人基隆市二信高級中學")</f>
        <v>二信學校財團法人基隆市二信高級中學</v>
      </c>
      <c r="E285" s="9" t="str">
        <f>IFERROR(__xludf.DUMMYFUNCTION("""COMPUTED_VALUE"""),"普通科")</f>
        <v>普通科</v>
      </c>
      <c r="F285" s="9" t="str">
        <f>IFERROR(__xludf.DUMMYFUNCTION("""COMPUTED_VALUE"""),"三年級")</f>
        <v>三年級</v>
      </c>
      <c r="G285" s="10" t="str">
        <f>IFERROR(__xludf.DUMMYFUNCTION("""COMPUTED_VALUE"""),"獎狀")</f>
        <v>獎狀</v>
      </c>
      <c r="H285" s="9"/>
    </row>
    <row r="286">
      <c r="A286" s="5" t="s">
        <v>9</v>
      </c>
      <c r="B286" s="9" t="str">
        <f>IFERROR(__xludf.DUMMYFUNCTION("""COMPUTED_VALUE"""),"李O庭")</f>
        <v>李O庭</v>
      </c>
      <c r="C286" s="9" t="str">
        <f>IFERROR(__xludf.DUMMYFUNCTION("""COMPUTED_VALUE"""),"sc5*****m.kl.edu.tw")</f>
        <v>sc5*****m.kl.edu.tw</v>
      </c>
      <c r="D286" s="9" t="str">
        <f>IFERROR(__xludf.DUMMYFUNCTION("""COMPUTED_VALUE"""),"基隆市立中山高級中學")</f>
        <v>基隆市立中山高級中學</v>
      </c>
      <c r="E286" s="9" t="str">
        <f>IFERROR(__xludf.DUMMYFUNCTION("""COMPUTED_VALUE"""),"普通科")</f>
        <v>普通科</v>
      </c>
      <c r="F286" s="9" t="str">
        <f>IFERROR(__xludf.DUMMYFUNCTION("""COMPUTED_VALUE"""),"二年級")</f>
        <v>二年級</v>
      </c>
      <c r="G286" s="10" t="str">
        <f>IFERROR(__xludf.DUMMYFUNCTION("""COMPUTED_VALUE"""),"獎狀")</f>
        <v>獎狀</v>
      </c>
      <c r="H286" s="9"/>
    </row>
    <row r="287">
      <c r="A287" s="5" t="s">
        <v>9</v>
      </c>
      <c r="B287" s="9" t="str">
        <f>IFERROR(__xludf.DUMMYFUNCTION("""COMPUTED_VALUE"""),"羅O穎")</f>
        <v>羅O穎</v>
      </c>
      <c r="C287" s="9" t="str">
        <f>IFERROR(__xludf.DUMMYFUNCTION("""COMPUTED_VALUE"""),"sc2*****m.kl.edu.tw")</f>
        <v>sc2*****m.kl.edu.tw</v>
      </c>
      <c r="D287" s="9" t="str">
        <f>IFERROR(__xludf.DUMMYFUNCTION("""COMPUTED_VALUE"""),"基隆市立中山高級中學")</f>
        <v>基隆市立中山高級中學</v>
      </c>
      <c r="E287" s="9" t="str">
        <f>IFERROR(__xludf.DUMMYFUNCTION("""COMPUTED_VALUE"""),"普通科")</f>
        <v>普通科</v>
      </c>
      <c r="F287" s="9" t="str">
        <f>IFERROR(__xludf.DUMMYFUNCTION("""COMPUTED_VALUE"""),"二年級")</f>
        <v>二年級</v>
      </c>
      <c r="G287" s="10" t="str">
        <f>IFERROR(__xludf.DUMMYFUNCTION("""COMPUTED_VALUE"""),"獎狀")</f>
        <v>獎狀</v>
      </c>
      <c r="H287" s="9"/>
    </row>
    <row r="288">
      <c r="A288" s="5" t="s">
        <v>9</v>
      </c>
      <c r="B288" s="9" t="str">
        <f>IFERROR(__xludf.DUMMYFUNCTION("""COMPUTED_VALUE"""),"張O媃")</f>
        <v>張O媃</v>
      </c>
      <c r="C288" s="9" t="str">
        <f>IFERROR(__xludf.DUMMYFUNCTION("""COMPUTED_VALUE"""),"sa4*****m.kl.edu.tw")</f>
        <v>sa4*****m.kl.edu.tw</v>
      </c>
      <c r="D288" s="9" t="str">
        <f>IFERROR(__xludf.DUMMYFUNCTION("""COMPUTED_VALUE"""),"基隆市立中山高級中學")</f>
        <v>基隆市立中山高級中學</v>
      </c>
      <c r="E288" s="9" t="str">
        <f>IFERROR(__xludf.DUMMYFUNCTION("""COMPUTED_VALUE"""),"普通科")</f>
        <v>普通科</v>
      </c>
      <c r="F288" s="9" t="str">
        <f>IFERROR(__xludf.DUMMYFUNCTION("""COMPUTED_VALUE"""),"二年級")</f>
        <v>二年級</v>
      </c>
      <c r="G288" s="10" t="str">
        <f>IFERROR(__xludf.DUMMYFUNCTION("""COMPUTED_VALUE"""),"★商品卡$1000")</f>
        <v>★商品卡$1000</v>
      </c>
      <c r="H288" s="9"/>
    </row>
    <row r="289">
      <c r="A289" s="5" t="s">
        <v>9</v>
      </c>
      <c r="B289" s="9" t="str">
        <f>IFERROR(__xludf.DUMMYFUNCTION("""COMPUTED_VALUE"""),"郭O御")</f>
        <v>郭O御</v>
      </c>
      <c r="C289" s="9" t="str">
        <f>IFERROR(__xludf.DUMMYFUNCTION("""COMPUTED_VALUE"""),"che*****1220@hotmail.com")</f>
        <v>che*****1220@hotmail.com</v>
      </c>
      <c r="D289" s="9" t="str">
        <f>IFERROR(__xludf.DUMMYFUNCTION("""COMPUTED_VALUE"""),"輔仁大學學校財團法人基隆市輔大聖心高級中學")</f>
        <v>輔仁大學學校財團法人基隆市輔大聖心高級中學</v>
      </c>
      <c r="E289" s="9" t="str">
        <f>IFERROR(__xludf.DUMMYFUNCTION("""COMPUTED_VALUE"""),"普通科")</f>
        <v>普通科</v>
      </c>
      <c r="F289" s="9" t="str">
        <f>IFERROR(__xludf.DUMMYFUNCTION("""COMPUTED_VALUE"""),"一年級")</f>
        <v>一年級</v>
      </c>
      <c r="G289" s="10" t="str">
        <f>IFERROR(__xludf.DUMMYFUNCTION("""COMPUTED_VALUE"""),"獎狀")</f>
        <v>獎狀</v>
      </c>
      <c r="H289" s="9"/>
    </row>
    <row r="290">
      <c r="A290" s="5" t="s">
        <v>9</v>
      </c>
      <c r="B290" s="9" t="str">
        <f>IFERROR(__xludf.DUMMYFUNCTION("""COMPUTED_VALUE"""),"吳O陞")</f>
        <v>吳O陞</v>
      </c>
      <c r="C290" s="9" t="str">
        <f>IFERROR(__xludf.DUMMYFUNCTION("""COMPUTED_VALUE"""),"111*****hsh.kl.edu.tw")</f>
        <v>111*****hsh.kl.edu.tw</v>
      </c>
      <c r="D290" s="9" t="str">
        <f>IFERROR(__xludf.DUMMYFUNCTION("""COMPUTED_VALUE"""),"輔仁大學學校財團法人基隆市輔大聖心高級中學")</f>
        <v>輔仁大學學校財團法人基隆市輔大聖心高級中學</v>
      </c>
      <c r="E290" s="9" t="str">
        <f>IFERROR(__xludf.DUMMYFUNCTION("""COMPUTED_VALUE"""),"普通科")</f>
        <v>普通科</v>
      </c>
      <c r="F290" s="9" t="str">
        <f>IFERROR(__xludf.DUMMYFUNCTION("""COMPUTED_VALUE"""),"一年級")</f>
        <v>一年級</v>
      </c>
      <c r="G290" s="10" t="str">
        <f>IFERROR(__xludf.DUMMYFUNCTION("""COMPUTED_VALUE"""),"獎狀")</f>
        <v>獎狀</v>
      </c>
      <c r="H290" s="9"/>
    </row>
    <row r="291">
      <c r="A291" s="5" t="s">
        <v>9</v>
      </c>
      <c r="B291" s="9" t="str">
        <f>IFERROR(__xludf.DUMMYFUNCTION("""COMPUTED_VALUE"""),"温O毓")</f>
        <v>温O毓</v>
      </c>
      <c r="C291" s="9" t="str">
        <f>IFERROR(__xludf.DUMMYFUNCTION("""COMPUTED_VALUE"""),"111*****hsh.kl.edu.tw")</f>
        <v>111*****hsh.kl.edu.tw</v>
      </c>
      <c r="D291" s="9" t="str">
        <f>IFERROR(__xludf.DUMMYFUNCTION("""COMPUTED_VALUE"""),"輔仁大學學校財團法人基隆市輔大聖心高級中學")</f>
        <v>輔仁大學學校財團法人基隆市輔大聖心高級中學</v>
      </c>
      <c r="E291" s="9" t="str">
        <f>IFERROR(__xludf.DUMMYFUNCTION("""COMPUTED_VALUE"""),"普通科")</f>
        <v>普通科</v>
      </c>
      <c r="F291" s="9" t="str">
        <f>IFERROR(__xludf.DUMMYFUNCTION("""COMPUTED_VALUE"""),"一年級")</f>
        <v>一年級</v>
      </c>
      <c r="G291" s="10" t="str">
        <f>IFERROR(__xludf.DUMMYFUNCTION("""COMPUTED_VALUE"""),"獎狀")</f>
        <v>獎狀</v>
      </c>
      <c r="H291" s="9"/>
    </row>
    <row r="292">
      <c r="A292" s="5" t="s">
        <v>9</v>
      </c>
      <c r="B292" s="9" t="str">
        <f>IFERROR(__xludf.DUMMYFUNCTION("""COMPUTED_VALUE"""),"王O璿")</f>
        <v>王O璿</v>
      </c>
      <c r="C292" s="9" t="str">
        <f>IFERROR(__xludf.DUMMYFUNCTION("""COMPUTED_VALUE"""),"111*****hsh.kl.edu.tw")</f>
        <v>111*****hsh.kl.edu.tw</v>
      </c>
      <c r="D292" s="9" t="str">
        <f>IFERROR(__xludf.DUMMYFUNCTION("""COMPUTED_VALUE"""),"輔仁大學學校財團法人基隆市輔大聖心高級中學")</f>
        <v>輔仁大學學校財團法人基隆市輔大聖心高級中學</v>
      </c>
      <c r="E292" s="9" t="str">
        <f>IFERROR(__xludf.DUMMYFUNCTION("""COMPUTED_VALUE"""),"普通科")</f>
        <v>普通科</v>
      </c>
      <c r="F292" s="9" t="str">
        <f>IFERROR(__xludf.DUMMYFUNCTION("""COMPUTED_VALUE"""),"一年級")</f>
        <v>一年級</v>
      </c>
      <c r="G292" s="10" t="str">
        <f>IFERROR(__xludf.DUMMYFUNCTION("""COMPUTED_VALUE"""),"獎狀")</f>
        <v>獎狀</v>
      </c>
      <c r="H292" s="9"/>
    </row>
    <row r="293">
      <c r="A293" s="5" t="s">
        <v>9</v>
      </c>
      <c r="B293" s="9" t="str">
        <f>IFERROR(__xludf.DUMMYFUNCTION("""COMPUTED_VALUE"""),"黃O媛")</f>
        <v>黃O媛</v>
      </c>
      <c r="C293" s="9" t="str">
        <f>IFERROR(__xludf.DUMMYFUNCTION("""COMPUTED_VALUE"""),"111*****hsh.kl.edu.tw")</f>
        <v>111*****hsh.kl.edu.tw</v>
      </c>
      <c r="D293" s="9" t="str">
        <f>IFERROR(__xludf.DUMMYFUNCTION("""COMPUTED_VALUE"""),"輔仁大學學校財團法人基隆市輔大聖心高級中學")</f>
        <v>輔仁大學學校財團法人基隆市輔大聖心高級中學</v>
      </c>
      <c r="E293" s="9" t="str">
        <f>IFERROR(__xludf.DUMMYFUNCTION("""COMPUTED_VALUE"""),"普通科")</f>
        <v>普通科</v>
      </c>
      <c r="F293" s="9" t="str">
        <f>IFERROR(__xludf.DUMMYFUNCTION("""COMPUTED_VALUE"""),"一年級")</f>
        <v>一年級</v>
      </c>
      <c r="G293" s="10" t="str">
        <f>IFERROR(__xludf.DUMMYFUNCTION("""COMPUTED_VALUE"""),"■商品卡$200")</f>
        <v>■商品卡$200</v>
      </c>
      <c r="H293" s="9"/>
    </row>
    <row r="294">
      <c r="A294" s="5" t="s">
        <v>9</v>
      </c>
      <c r="B294" s="9" t="str">
        <f>IFERROR(__xludf.DUMMYFUNCTION("""COMPUTED_VALUE"""),"吳O錦")</f>
        <v>吳O錦</v>
      </c>
      <c r="C294" s="9" t="str">
        <f>IFERROR(__xludf.DUMMYFUNCTION("""COMPUTED_VALUE"""),"111*****hsh.kl.edu.tw")</f>
        <v>111*****hsh.kl.edu.tw</v>
      </c>
      <c r="D294" s="9" t="str">
        <f>IFERROR(__xludf.DUMMYFUNCTION("""COMPUTED_VALUE"""),"輔仁大學學校財團法人基隆市輔大聖心高級中學")</f>
        <v>輔仁大學學校財團法人基隆市輔大聖心高級中學</v>
      </c>
      <c r="E294" s="9" t="str">
        <f>IFERROR(__xludf.DUMMYFUNCTION("""COMPUTED_VALUE"""),"普通科")</f>
        <v>普通科</v>
      </c>
      <c r="F294" s="9" t="str">
        <f>IFERROR(__xludf.DUMMYFUNCTION("""COMPUTED_VALUE"""),"一年級")</f>
        <v>一年級</v>
      </c>
      <c r="G294" s="10" t="str">
        <f>IFERROR(__xludf.DUMMYFUNCTION("""COMPUTED_VALUE"""),"獎狀")</f>
        <v>獎狀</v>
      </c>
      <c r="H294" s="9"/>
    </row>
    <row r="295">
      <c r="A295" s="5" t="s">
        <v>9</v>
      </c>
      <c r="B295" s="9" t="str">
        <f>IFERROR(__xludf.DUMMYFUNCTION("""COMPUTED_VALUE"""),"王O齊")</f>
        <v>王O齊</v>
      </c>
      <c r="C295" s="9" t="str">
        <f>IFERROR(__xludf.DUMMYFUNCTION("""COMPUTED_VALUE"""),"111*****hsh.kl.edu.tw")</f>
        <v>111*****hsh.kl.edu.tw</v>
      </c>
      <c r="D295" s="9" t="str">
        <f>IFERROR(__xludf.DUMMYFUNCTION("""COMPUTED_VALUE"""),"輔仁大學學校財團法人基隆市輔大聖心高級中學")</f>
        <v>輔仁大學學校財團法人基隆市輔大聖心高級中學</v>
      </c>
      <c r="E295" s="9" t="str">
        <f>IFERROR(__xludf.DUMMYFUNCTION("""COMPUTED_VALUE"""),"普通科")</f>
        <v>普通科</v>
      </c>
      <c r="F295" s="9" t="str">
        <f>IFERROR(__xludf.DUMMYFUNCTION("""COMPUTED_VALUE"""),"一年級")</f>
        <v>一年級</v>
      </c>
      <c r="G295" s="10" t="str">
        <f>IFERROR(__xludf.DUMMYFUNCTION("""COMPUTED_VALUE"""),"獎狀")</f>
        <v>獎狀</v>
      </c>
      <c r="H295" s="9"/>
    </row>
    <row r="296">
      <c r="A296" s="5" t="s">
        <v>9</v>
      </c>
      <c r="B296" s="9" t="str">
        <f>IFERROR(__xludf.DUMMYFUNCTION("""COMPUTED_VALUE"""),"薛O暄")</f>
        <v>薛O暄</v>
      </c>
      <c r="C296" s="9" t="str">
        <f>IFERROR(__xludf.DUMMYFUNCTION("""COMPUTED_VALUE"""),"111*****hsh.kl.edu.tw")</f>
        <v>111*****hsh.kl.edu.tw</v>
      </c>
      <c r="D296" s="9" t="str">
        <f>IFERROR(__xludf.DUMMYFUNCTION("""COMPUTED_VALUE"""),"輔仁大學學校財團法人基隆市輔大聖心高級中學")</f>
        <v>輔仁大學學校財團法人基隆市輔大聖心高級中學</v>
      </c>
      <c r="E296" s="9" t="str">
        <f>IFERROR(__xludf.DUMMYFUNCTION("""COMPUTED_VALUE"""),"普通科")</f>
        <v>普通科</v>
      </c>
      <c r="F296" s="9" t="str">
        <f>IFERROR(__xludf.DUMMYFUNCTION("""COMPUTED_VALUE"""),"一年級")</f>
        <v>一年級</v>
      </c>
      <c r="G296" s="10" t="str">
        <f>IFERROR(__xludf.DUMMYFUNCTION("""COMPUTED_VALUE"""),"★商品卡$1000")</f>
        <v>★商品卡$1000</v>
      </c>
      <c r="H296" s="9"/>
    </row>
    <row r="297">
      <c r="A297" s="5" t="s">
        <v>9</v>
      </c>
      <c r="B297" s="9" t="str">
        <f>IFERROR(__xludf.DUMMYFUNCTION("""COMPUTED_VALUE"""),"潘O聿")</f>
        <v>潘O聿</v>
      </c>
      <c r="C297" s="9" t="str">
        <f>IFERROR(__xludf.DUMMYFUNCTION("""COMPUTED_VALUE"""),"111*****hsh.kl.edu.tw")</f>
        <v>111*****hsh.kl.edu.tw</v>
      </c>
      <c r="D297" s="9" t="str">
        <f>IFERROR(__xludf.DUMMYFUNCTION("""COMPUTED_VALUE"""),"輔仁大學學校財團法人基隆市輔大聖心高級中學")</f>
        <v>輔仁大學學校財團法人基隆市輔大聖心高級中學</v>
      </c>
      <c r="E297" s="9" t="str">
        <f>IFERROR(__xludf.DUMMYFUNCTION("""COMPUTED_VALUE"""),"普通科")</f>
        <v>普通科</v>
      </c>
      <c r="F297" s="9" t="str">
        <f>IFERROR(__xludf.DUMMYFUNCTION("""COMPUTED_VALUE"""),"一年級")</f>
        <v>一年級</v>
      </c>
      <c r="G297" s="10" t="str">
        <f>IFERROR(__xludf.DUMMYFUNCTION("""COMPUTED_VALUE"""),"獎狀")</f>
        <v>獎狀</v>
      </c>
      <c r="H297" s="9"/>
    </row>
    <row r="298">
      <c r="A298" s="5" t="s">
        <v>9</v>
      </c>
      <c r="B298" s="9" t="str">
        <f>IFERROR(__xludf.DUMMYFUNCTION("""COMPUTED_VALUE"""),"林O振")</f>
        <v>林O振</v>
      </c>
      <c r="C298" s="9" t="str">
        <f>IFERROR(__xludf.DUMMYFUNCTION("""COMPUTED_VALUE"""),"111*****hsh.kl.edu.tw")</f>
        <v>111*****hsh.kl.edu.tw</v>
      </c>
      <c r="D298" s="9" t="str">
        <f>IFERROR(__xludf.DUMMYFUNCTION("""COMPUTED_VALUE"""),"輔仁大學學校財團法人基隆市輔大聖心高級中學")</f>
        <v>輔仁大學學校財團法人基隆市輔大聖心高級中學</v>
      </c>
      <c r="E298" s="9" t="str">
        <f>IFERROR(__xludf.DUMMYFUNCTION("""COMPUTED_VALUE"""),"普通科")</f>
        <v>普通科</v>
      </c>
      <c r="F298" s="9" t="str">
        <f>IFERROR(__xludf.DUMMYFUNCTION("""COMPUTED_VALUE"""),"一年級")</f>
        <v>一年級</v>
      </c>
      <c r="G298" s="10" t="str">
        <f>IFERROR(__xludf.DUMMYFUNCTION("""COMPUTED_VALUE"""),"獎狀")</f>
        <v>獎狀</v>
      </c>
      <c r="H298" s="9"/>
    </row>
    <row r="299">
      <c r="A299" s="5" t="s">
        <v>9</v>
      </c>
      <c r="B299" s="9" t="str">
        <f>IFERROR(__xludf.DUMMYFUNCTION("""COMPUTED_VALUE"""),"陳O渝")</f>
        <v>陳O渝</v>
      </c>
      <c r="C299" s="9" t="str">
        <f>IFERROR(__xludf.DUMMYFUNCTION("""COMPUTED_VALUE"""),"111*****hsh.kl.edu.tw")</f>
        <v>111*****hsh.kl.edu.tw</v>
      </c>
      <c r="D299" s="9" t="str">
        <f>IFERROR(__xludf.DUMMYFUNCTION("""COMPUTED_VALUE"""),"輔仁大學學校財團法人基隆市輔大聖心高級中學")</f>
        <v>輔仁大學學校財團法人基隆市輔大聖心高級中學</v>
      </c>
      <c r="E299" s="9" t="str">
        <f>IFERROR(__xludf.DUMMYFUNCTION("""COMPUTED_VALUE"""),"普通科")</f>
        <v>普通科</v>
      </c>
      <c r="F299" s="9" t="str">
        <f>IFERROR(__xludf.DUMMYFUNCTION("""COMPUTED_VALUE"""),"一年級")</f>
        <v>一年級</v>
      </c>
      <c r="G299" s="10" t="str">
        <f>IFERROR(__xludf.DUMMYFUNCTION("""COMPUTED_VALUE"""),"獎狀")</f>
        <v>獎狀</v>
      </c>
      <c r="H299" s="9"/>
    </row>
    <row r="300">
      <c r="A300" s="5" t="s">
        <v>9</v>
      </c>
      <c r="B300" s="9" t="str">
        <f>IFERROR(__xludf.DUMMYFUNCTION("""COMPUTED_VALUE"""),"田O正")</f>
        <v>田O正</v>
      </c>
      <c r="C300" s="9" t="str">
        <f>IFERROR(__xludf.DUMMYFUNCTION("""COMPUTED_VALUE"""),"sd5*****ail.edu.tw")</f>
        <v>sd5*****ail.edu.tw</v>
      </c>
      <c r="D300" s="9" t="str">
        <f>IFERROR(__xludf.DUMMYFUNCTION("""COMPUTED_VALUE"""),"輔仁大學學校財團法人基隆市輔大聖心高級中學")</f>
        <v>輔仁大學學校財團法人基隆市輔大聖心高級中學</v>
      </c>
      <c r="E300" s="9" t="str">
        <f>IFERROR(__xludf.DUMMYFUNCTION("""COMPUTED_VALUE"""),"普通科")</f>
        <v>普通科</v>
      </c>
      <c r="F300" s="9" t="str">
        <f>IFERROR(__xludf.DUMMYFUNCTION("""COMPUTED_VALUE"""),"一年級")</f>
        <v>一年級</v>
      </c>
      <c r="G300" s="10" t="str">
        <f>IFERROR(__xludf.DUMMYFUNCTION("""COMPUTED_VALUE"""),"獎狀")</f>
        <v>獎狀</v>
      </c>
      <c r="H300" s="9"/>
    </row>
    <row r="301">
      <c r="A301" s="5" t="s">
        <v>9</v>
      </c>
      <c r="B301" s="9" t="str">
        <f>IFERROR(__xludf.DUMMYFUNCTION("""COMPUTED_VALUE"""),"廖O瑤")</f>
        <v>廖O瑤</v>
      </c>
      <c r="C301" s="9" t="str">
        <f>IFERROR(__xludf.DUMMYFUNCTION("""COMPUTED_VALUE"""),"111*****hsh.kl.edu.tw")</f>
        <v>111*****hsh.kl.edu.tw</v>
      </c>
      <c r="D301" s="9" t="str">
        <f>IFERROR(__xludf.DUMMYFUNCTION("""COMPUTED_VALUE"""),"輔仁大學學校財團法人基隆市輔大聖心高級中學")</f>
        <v>輔仁大學學校財團法人基隆市輔大聖心高級中學</v>
      </c>
      <c r="E301" s="9" t="str">
        <f>IFERROR(__xludf.DUMMYFUNCTION("""COMPUTED_VALUE"""),"普通科")</f>
        <v>普通科</v>
      </c>
      <c r="F301" s="9" t="str">
        <f>IFERROR(__xludf.DUMMYFUNCTION("""COMPUTED_VALUE"""),"一年級")</f>
        <v>一年級</v>
      </c>
      <c r="G301" s="10" t="str">
        <f>IFERROR(__xludf.DUMMYFUNCTION("""COMPUTED_VALUE"""),"獎狀")</f>
        <v>獎狀</v>
      </c>
      <c r="H301" s="9"/>
    </row>
    <row r="302">
      <c r="A302" s="5" t="s">
        <v>9</v>
      </c>
      <c r="B302" s="9" t="str">
        <f>IFERROR(__xludf.DUMMYFUNCTION("""COMPUTED_VALUE"""),"駱O樺")</f>
        <v>駱O樺</v>
      </c>
      <c r="C302" s="9" t="str">
        <f>IFERROR(__xludf.DUMMYFUNCTION("""COMPUTED_VALUE"""),"210*****hsh.kl.edu.tw")</f>
        <v>210*****hsh.kl.edu.tw</v>
      </c>
      <c r="D302" s="9" t="str">
        <f>IFERROR(__xludf.DUMMYFUNCTION("""COMPUTED_VALUE"""),"輔仁大學學校財團法人基隆市輔大聖心高級中學")</f>
        <v>輔仁大學學校財團法人基隆市輔大聖心高級中學</v>
      </c>
      <c r="E302" s="9" t="str">
        <f>IFERROR(__xludf.DUMMYFUNCTION("""COMPUTED_VALUE"""),"普通科")</f>
        <v>普通科</v>
      </c>
      <c r="F302" s="9" t="str">
        <f>IFERROR(__xludf.DUMMYFUNCTION("""COMPUTED_VALUE"""),"二年級")</f>
        <v>二年級</v>
      </c>
      <c r="G302" s="10" t="str">
        <f>IFERROR(__xludf.DUMMYFUNCTION("""COMPUTED_VALUE"""),"獎狀")</f>
        <v>獎狀</v>
      </c>
      <c r="H302" s="9"/>
    </row>
    <row r="303">
      <c r="A303" s="5" t="s">
        <v>9</v>
      </c>
      <c r="B303" s="9" t="str">
        <f>IFERROR(__xludf.DUMMYFUNCTION("""COMPUTED_VALUE"""),"呂O瑄")</f>
        <v>呂O瑄</v>
      </c>
      <c r="C303" s="9" t="str">
        <f>IFERROR(__xludf.DUMMYFUNCTION("""COMPUTED_VALUE"""),"luy*****16281314@gmail.com")</f>
        <v>luy*****16281314@gmail.com</v>
      </c>
      <c r="D303" s="9" t="str">
        <f>IFERROR(__xludf.DUMMYFUNCTION("""COMPUTED_VALUE"""),"輔仁大學學校財團法人基隆市輔大聖心高級中學")</f>
        <v>輔仁大學學校財團法人基隆市輔大聖心高級中學</v>
      </c>
      <c r="E303" s="9" t="str">
        <f>IFERROR(__xludf.DUMMYFUNCTION("""COMPUTED_VALUE"""),"普通科")</f>
        <v>普通科</v>
      </c>
      <c r="F303" s="9" t="str">
        <f>IFERROR(__xludf.DUMMYFUNCTION("""COMPUTED_VALUE"""),"三年級")</f>
        <v>三年級</v>
      </c>
      <c r="G303" s="10" t="str">
        <f>IFERROR(__xludf.DUMMYFUNCTION("""COMPUTED_VALUE"""),"獎狀")</f>
        <v>獎狀</v>
      </c>
      <c r="H303" s="9"/>
    </row>
    <row r="304">
      <c r="A304" s="5" t="s">
        <v>9</v>
      </c>
      <c r="B304" s="9" t="str">
        <f>IFERROR(__xludf.DUMMYFUNCTION("""COMPUTED_VALUE"""),"陳O立")</f>
        <v>陳O立</v>
      </c>
      <c r="C304" s="9" t="str">
        <f>IFERROR(__xludf.DUMMYFUNCTION("""COMPUTED_VALUE"""),"311*****ljh.kl.edu.tw")</f>
        <v>311*****ljh.kl.edu.tw</v>
      </c>
      <c r="D304" s="9" t="str">
        <f>IFERROR(__xludf.DUMMYFUNCTION("""COMPUTED_VALUE"""),"基隆市立安樂高級中學")</f>
        <v>基隆市立安樂高級中學</v>
      </c>
      <c r="E304" s="9" t="str">
        <f>IFERROR(__xludf.DUMMYFUNCTION("""COMPUTED_VALUE"""),"普通科")</f>
        <v>普通科</v>
      </c>
      <c r="F304" s="9" t="str">
        <f>IFERROR(__xludf.DUMMYFUNCTION("""COMPUTED_VALUE"""),"二年級")</f>
        <v>二年級</v>
      </c>
      <c r="G304" s="10" t="str">
        <f>IFERROR(__xludf.DUMMYFUNCTION("""COMPUTED_VALUE"""),"獎狀")</f>
        <v>獎狀</v>
      </c>
      <c r="H304" s="9"/>
    </row>
    <row r="305">
      <c r="A305" s="5" t="s">
        <v>9</v>
      </c>
      <c r="B305" s="9" t="str">
        <f>IFERROR(__xludf.DUMMYFUNCTION("""COMPUTED_VALUE"""),"鄔O恩")</f>
        <v>鄔O恩</v>
      </c>
      <c r="C305" s="9" t="str">
        <f>IFERROR(__xludf.DUMMYFUNCTION("""COMPUTED_VALUE"""),"311*****ljh.kl.edu.tw")</f>
        <v>311*****ljh.kl.edu.tw</v>
      </c>
      <c r="D305" s="9" t="str">
        <f>IFERROR(__xludf.DUMMYFUNCTION("""COMPUTED_VALUE"""),"基隆市立安樂高級中學")</f>
        <v>基隆市立安樂高級中學</v>
      </c>
      <c r="E305" s="9" t="str">
        <f>IFERROR(__xludf.DUMMYFUNCTION("""COMPUTED_VALUE"""),"普通科")</f>
        <v>普通科</v>
      </c>
      <c r="F305" s="9" t="str">
        <f>IFERROR(__xludf.DUMMYFUNCTION("""COMPUTED_VALUE"""),"二年級")</f>
        <v>二年級</v>
      </c>
      <c r="G305" s="10" t="str">
        <f>IFERROR(__xludf.DUMMYFUNCTION("""COMPUTED_VALUE"""),"獎狀")</f>
        <v>獎狀</v>
      </c>
      <c r="H305" s="9"/>
    </row>
    <row r="306">
      <c r="A306" s="5" t="s">
        <v>9</v>
      </c>
      <c r="B306" s="9" t="str">
        <f>IFERROR(__xludf.DUMMYFUNCTION("""COMPUTED_VALUE"""),"明O怡")</f>
        <v>明O怡</v>
      </c>
      <c r="C306" s="9" t="str">
        <f>IFERROR(__xludf.DUMMYFUNCTION("""COMPUTED_VALUE"""),"311*****ljh.kl.edu.tw")</f>
        <v>311*****ljh.kl.edu.tw</v>
      </c>
      <c r="D306" s="9" t="str">
        <f>IFERROR(__xludf.DUMMYFUNCTION("""COMPUTED_VALUE"""),"基隆市立安樂高級中學")</f>
        <v>基隆市立安樂高級中學</v>
      </c>
      <c r="E306" s="9" t="str">
        <f>IFERROR(__xludf.DUMMYFUNCTION("""COMPUTED_VALUE"""),"普通科")</f>
        <v>普通科</v>
      </c>
      <c r="F306" s="9" t="str">
        <f>IFERROR(__xludf.DUMMYFUNCTION("""COMPUTED_VALUE"""),"二年級")</f>
        <v>二年級</v>
      </c>
      <c r="G306" s="10" t="str">
        <f>IFERROR(__xludf.DUMMYFUNCTION("""COMPUTED_VALUE"""),"獎狀")</f>
        <v>獎狀</v>
      </c>
      <c r="H306" s="9"/>
    </row>
    <row r="307">
      <c r="A307" s="5" t="s">
        <v>9</v>
      </c>
      <c r="B307" s="9" t="str">
        <f>IFERROR(__xludf.DUMMYFUNCTION("""COMPUTED_VALUE"""),"陳O欣")</f>
        <v>陳O欣</v>
      </c>
      <c r="C307" s="9" t="str">
        <f>IFERROR(__xludf.DUMMYFUNCTION("""COMPUTED_VALUE"""),"311*****ljh.kl.edu.tw")</f>
        <v>311*****ljh.kl.edu.tw</v>
      </c>
      <c r="D307" s="9" t="str">
        <f>IFERROR(__xludf.DUMMYFUNCTION("""COMPUTED_VALUE"""),"基隆市立安樂高級中學")</f>
        <v>基隆市立安樂高級中學</v>
      </c>
      <c r="E307" s="9" t="str">
        <f>IFERROR(__xludf.DUMMYFUNCTION("""COMPUTED_VALUE"""),"普通科")</f>
        <v>普通科</v>
      </c>
      <c r="F307" s="9" t="str">
        <f>IFERROR(__xludf.DUMMYFUNCTION("""COMPUTED_VALUE"""),"二年級")</f>
        <v>二年級</v>
      </c>
      <c r="G307" s="10" t="str">
        <f>IFERROR(__xludf.DUMMYFUNCTION("""COMPUTED_VALUE"""),"獎狀")</f>
        <v>獎狀</v>
      </c>
      <c r="H307" s="9"/>
    </row>
    <row r="308">
      <c r="A308" s="5" t="s">
        <v>9</v>
      </c>
      <c r="B308" s="9" t="str">
        <f>IFERROR(__xludf.DUMMYFUNCTION("""COMPUTED_VALUE"""),"郭O璇")</f>
        <v>郭O璇</v>
      </c>
      <c r="C308" s="9" t="str">
        <f>IFERROR(__xludf.DUMMYFUNCTION("""COMPUTED_VALUE"""),"311*****ljh.kl.edu.tw")</f>
        <v>311*****ljh.kl.edu.tw</v>
      </c>
      <c r="D308" s="9" t="str">
        <f>IFERROR(__xludf.DUMMYFUNCTION("""COMPUTED_VALUE"""),"基隆市立安樂高級中學")</f>
        <v>基隆市立安樂高級中學</v>
      </c>
      <c r="E308" s="9" t="str">
        <f>IFERROR(__xludf.DUMMYFUNCTION("""COMPUTED_VALUE"""),"普通科")</f>
        <v>普通科</v>
      </c>
      <c r="F308" s="9" t="str">
        <f>IFERROR(__xludf.DUMMYFUNCTION("""COMPUTED_VALUE"""),"二年級")</f>
        <v>二年級</v>
      </c>
      <c r="G308" s="10" t="str">
        <f>IFERROR(__xludf.DUMMYFUNCTION("""COMPUTED_VALUE"""),"獎狀")</f>
        <v>獎狀</v>
      </c>
      <c r="H308" s="9"/>
    </row>
    <row r="309">
      <c r="A309" s="5" t="s">
        <v>9</v>
      </c>
      <c r="B309" s="9" t="str">
        <f>IFERROR(__xludf.DUMMYFUNCTION("""COMPUTED_VALUE"""),"曾O哲")</f>
        <v>曾O哲</v>
      </c>
      <c r="C309" s="9" t="str">
        <f>IFERROR(__xludf.DUMMYFUNCTION("""COMPUTED_VALUE"""),"311*****ljh.kl.edu.tw")</f>
        <v>311*****ljh.kl.edu.tw</v>
      </c>
      <c r="D309" s="9" t="str">
        <f>IFERROR(__xludf.DUMMYFUNCTION("""COMPUTED_VALUE"""),"基隆市立安樂高級中學")</f>
        <v>基隆市立安樂高級中學</v>
      </c>
      <c r="E309" s="9" t="str">
        <f>IFERROR(__xludf.DUMMYFUNCTION("""COMPUTED_VALUE"""),"普通科")</f>
        <v>普通科</v>
      </c>
      <c r="F309" s="9" t="str">
        <f>IFERROR(__xludf.DUMMYFUNCTION("""COMPUTED_VALUE"""),"二年級")</f>
        <v>二年級</v>
      </c>
      <c r="G309" s="10" t="str">
        <f>IFERROR(__xludf.DUMMYFUNCTION("""COMPUTED_VALUE"""),"獎狀")</f>
        <v>獎狀</v>
      </c>
      <c r="H309" s="9"/>
    </row>
    <row r="310">
      <c r="A310" s="5" t="s">
        <v>9</v>
      </c>
      <c r="B310" s="9" t="str">
        <f>IFERROR(__xludf.DUMMYFUNCTION("""COMPUTED_VALUE"""),"林O樂")</f>
        <v>林O樂</v>
      </c>
      <c r="C310" s="9" t="str">
        <f>IFERROR(__xludf.DUMMYFUNCTION("""COMPUTED_VALUE"""),"311*****ljh.kl.edu.tw")</f>
        <v>311*****ljh.kl.edu.tw</v>
      </c>
      <c r="D310" s="9" t="str">
        <f>IFERROR(__xludf.DUMMYFUNCTION("""COMPUTED_VALUE"""),"基隆市立安樂高級中學")</f>
        <v>基隆市立安樂高級中學</v>
      </c>
      <c r="E310" s="9" t="str">
        <f>IFERROR(__xludf.DUMMYFUNCTION("""COMPUTED_VALUE"""),"普通科")</f>
        <v>普通科</v>
      </c>
      <c r="F310" s="9" t="str">
        <f>IFERROR(__xludf.DUMMYFUNCTION("""COMPUTED_VALUE"""),"二年級")</f>
        <v>二年級</v>
      </c>
      <c r="G310" s="10" t="str">
        <f>IFERROR(__xludf.DUMMYFUNCTION("""COMPUTED_VALUE"""),"獎狀")</f>
        <v>獎狀</v>
      </c>
      <c r="H310" s="11"/>
    </row>
    <row r="311">
      <c r="A311" s="5" t="s">
        <v>9</v>
      </c>
      <c r="B311" s="9" t="str">
        <f>IFERROR(__xludf.DUMMYFUNCTION("""COMPUTED_VALUE"""),"辜O璇")</f>
        <v>辜O璇</v>
      </c>
      <c r="C311" s="9" t="str">
        <f>IFERROR(__xludf.DUMMYFUNCTION("""COMPUTED_VALUE"""),"sa1*****l@mail.edu.tw")</f>
        <v>sa1*****l@mail.edu.tw</v>
      </c>
      <c r="D311" s="9" t="str">
        <f>IFERROR(__xludf.DUMMYFUNCTION("""COMPUTED_VALUE"""),"基隆市立安樂高級中學")</f>
        <v>基隆市立安樂高級中學</v>
      </c>
      <c r="E311" s="9" t="str">
        <f>IFERROR(__xludf.DUMMYFUNCTION("""COMPUTED_VALUE"""),"普通科")</f>
        <v>普通科</v>
      </c>
      <c r="F311" s="9" t="str">
        <f>IFERROR(__xludf.DUMMYFUNCTION("""COMPUTED_VALUE"""),"二年級")</f>
        <v>二年級</v>
      </c>
      <c r="G311" s="10" t="str">
        <f>IFERROR(__xludf.DUMMYFUNCTION("""COMPUTED_VALUE"""),"獎狀")</f>
        <v>獎狀</v>
      </c>
      <c r="H311" s="11" t="str">
        <f>IFERROR(__xludf.DUMMYFUNCTION("""COMPUTED_VALUE"""),"學籍資料不齊，請提供【就讀班級】")</f>
        <v>學籍資料不齊，請提供【就讀班級】</v>
      </c>
    </row>
    <row r="312">
      <c r="A312" s="5" t="s">
        <v>9</v>
      </c>
      <c r="B312" s="9" t="str">
        <f>IFERROR(__xludf.DUMMYFUNCTION("""COMPUTED_VALUE"""),"黃O忻")</f>
        <v>黃O忻</v>
      </c>
      <c r="C312" s="9" t="str">
        <f>IFERROR(__xludf.DUMMYFUNCTION("""COMPUTED_VALUE"""),"311*****ljh.kl.edu.tw")</f>
        <v>311*****ljh.kl.edu.tw</v>
      </c>
      <c r="D312" s="9" t="str">
        <f>IFERROR(__xludf.DUMMYFUNCTION("""COMPUTED_VALUE"""),"基隆市立安樂高級中學")</f>
        <v>基隆市立安樂高級中學</v>
      </c>
      <c r="E312" s="9" t="str">
        <f>IFERROR(__xludf.DUMMYFUNCTION("""COMPUTED_VALUE"""),"普通科")</f>
        <v>普通科</v>
      </c>
      <c r="F312" s="9" t="str">
        <f>IFERROR(__xludf.DUMMYFUNCTION("""COMPUTED_VALUE"""),"二年級")</f>
        <v>二年級</v>
      </c>
      <c r="G312" s="10" t="str">
        <f>IFERROR(__xludf.DUMMYFUNCTION("""COMPUTED_VALUE"""),"○商品卡$500")</f>
        <v>○商品卡$500</v>
      </c>
      <c r="H312" s="11"/>
    </row>
    <row r="313">
      <c r="A313" s="5" t="s">
        <v>9</v>
      </c>
      <c r="B313" s="9" t="str">
        <f>IFERROR(__xludf.DUMMYFUNCTION("""COMPUTED_VALUE"""),"何O芩")</f>
        <v>何O芩</v>
      </c>
      <c r="C313" s="9" t="str">
        <f>IFERROR(__xludf.DUMMYFUNCTION("""COMPUTED_VALUE"""),"311*****ljh.kl.edu.tw")</f>
        <v>311*****ljh.kl.edu.tw</v>
      </c>
      <c r="D313" s="9" t="str">
        <f>IFERROR(__xludf.DUMMYFUNCTION("""COMPUTED_VALUE"""),"基隆市立安樂高級中學")</f>
        <v>基隆市立安樂高級中學</v>
      </c>
      <c r="E313" s="9" t="str">
        <f>IFERROR(__xludf.DUMMYFUNCTION("""COMPUTED_VALUE"""),"普通科")</f>
        <v>普通科</v>
      </c>
      <c r="F313" s="9" t="str">
        <f>IFERROR(__xludf.DUMMYFUNCTION("""COMPUTED_VALUE"""),"二年級")</f>
        <v>二年級</v>
      </c>
      <c r="G313" s="10" t="str">
        <f>IFERROR(__xludf.DUMMYFUNCTION("""COMPUTED_VALUE"""),"獎狀")</f>
        <v>獎狀</v>
      </c>
      <c r="H313" s="11"/>
    </row>
    <row r="314">
      <c r="A314" s="5" t="s">
        <v>9</v>
      </c>
      <c r="B314" s="9" t="str">
        <f>IFERROR(__xludf.DUMMYFUNCTION("""COMPUTED_VALUE"""),"李O筠")</f>
        <v>李O筠</v>
      </c>
      <c r="C314" s="9" t="str">
        <f>IFERROR(__xludf.DUMMYFUNCTION("""COMPUTED_VALUE"""),"311*****ljh.kl.edu.tw")</f>
        <v>311*****ljh.kl.edu.tw</v>
      </c>
      <c r="D314" s="9" t="str">
        <f>IFERROR(__xludf.DUMMYFUNCTION("""COMPUTED_VALUE"""),"基隆市立安樂高級中學")</f>
        <v>基隆市立安樂高級中學</v>
      </c>
      <c r="E314" s="9" t="str">
        <f>IFERROR(__xludf.DUMMYFUNCTION("""COMPUTED_VALUE"""),"普通科")</f>
        <v>普通科</v>
      </c>
      <c r="F314" s="9" t="str">
        <f>IFERROR(__xludf.DUMMYFUNCTION("""COMPUTED_VALUE"""),"二年級")</f>
        <v>二年級</v>
      </c>
      <c r="G314" s="10" t="str">
        <f>IFERROR(__xludf.DUMMYFUNCTION("""COMPUTED_VALUE"""),"獎狀")</f>
        <v>獎狀</v>
      </c>
      <c r="H314" s="11" t="str">
        <f>IFERROR(__xludf.DUMMYFUNCTION("""COMPUTED_VALUE"""),"學籍資料不齊，請提供【就讀班級】")</f>
        <v>學籍資料不齊，請提供【就讀班級】</v>
      </c>
    </row>
    <row r="315">
      <c r="A315" s="5" t="s">
        <v>9</v>
      </c>
      <c r="B315" s="9" t="str">
        <f>IFERROR(__xludf.DUMMYFUNCTION("""COMPUTED_VALUE"""),"林O臻")</f>
        <v>林O臻</v>
      </c>
      <c r="C315" s="9" t="str">
        <f>IFERROR(__xludf.DUMMYFUNCTION("""COMPUTED_VALUE"""),"311*****ljh.kl.edu.tw")</f>
        <v>311*****ljh.kl.edu.tw</v>
      </c>
      <c r="D315" s="9" t="str">
        <f>IFERROR(__xludf.DUMMYFUNCTION("""COMPUTED_VALUE"""),"基隆市立安樂高級中學")</f>
        <v>基隆市立安樂高級中學</v>
      </c>
      <c r="E315" s="9" t="str">
        <f>IFERROR(__xludf.DUMMYFUNCTION("""COMPUTED_VALUE"""),"普通科")</f>
        <v>普通科</v>
      </c>
      <c r="F315" s="9" t="str">
        <f>IFERROR(__xludf.DUMMYFUNCTION("""COMPUTED_VALUE"""),"二年級")</f>
        <v>二年級</v>
      </c>
      <c r="G315" s="10" t="str">
        <f>IFERROR(__xludf.DUMMYFUNCTION("""COMPUTED_VALUE"""),"■商品卡$200")</f>
        <v>■商品卡$200</v>
      </c>
      <c r="H315" s="11"/>
    </row>
    <row r="316">
      <c r="A316" s="5" t="s">
        <v>9</v>
      </c>
      <c r="B316" s="9" t="str">
        <f>IFERROR(__xludf.DUMMYFUNCTION("""COMPUTED_VALUE"""),"溫O")</f>
        <v>溫O</v>
      </c>
      <c r="C316" s="9" t="str">
        <f>IFERROR(__xludf.DUMMYFUNCTION("""COMPUTED_VALUE"""),"311*****ljh.kl.edu.tw")</f>
        <v>311*****ljh.kl.edu.tw</v>
      </c>
      <c r="D316" s="9" t="str">
        <f>IFERROR(__xludf.DUMMYFUNCTION("""COMPUTED_VALUE"""),"基隆市立安樂高級中學")</f>
        <v>基隆市立安樂高級中學</v>
      </c>
      <c r="E316" s="9" t="str">
        <f>IFERROR(__xludf.DUMMYFUNCTION("""COMPUTED_VALUE"""),"普通科")</f>
        <v>普通科</v>
      </c>
      <c r="F316" s="9" t="str">
        <f>IFERROR(__xludf.DUMMYFUNCTION("""COMPUTED_VALUE"""),"二年級")</f>
        <v>二年級</v>
      </c>
      <c r="G316" s="10" t="str">
        <f>IFERROR(__xludf.DUMMYFUNCTION("""COMPUTED_VALUE"""),"獎狀")</f>
        <v>獎狀</v>
      </c>
      <c r="H316" s="11" t="str">
        <f>IFERROR(__xludf.DUMMYFUNCTION("""COMPUTED_VALUE"""),"學籍資料不齊，請提供【就讀班級】")</f>
        <v>學籍資料不齊，請提供【就讀班級】</v>
      </c>
    </row>
    <row r="317">
      <c r="A317" s="5" t="s">
        <v>9</v>
      </c>
      <c r="B317" s="9" t="str">
        <f>IFERROR(__xludf.DUMMYFUNCTION("""COMPUTED_VALUE"""),"廖O閑")</f>
        <v>廖O閑</v>
      </c>
      <c r="C317" s="9" t="str">
        <f>IFERROR(__xludf.DUMMYFUNCTION("""COMPUTED_VALUE"""),"311*****ljh.kl.edu.tw")</f>
        <v>311*****ljh.kl.edu.tw</v>
      </c>
      <c r="D317" s="9" t="str">
        <f>IFERROR(__xludf.DUMMYFUNCTION("""COMPUTED_VALUE"""),"基隆市立安樂高級中學")</f>
        <v>基隆市立安樂高級中學</v>
      </c>
      <c r="E317" s="9" t="str">
        <f>IFERROR(__xludf.DUMMYFUNCTION("""COMPUTED_VALUE"""),"普通科")</f>
        <v>普通科</v>
      </c>
      <c r="F317" s="9" t="str">
        <f>IFERROR(__xludf.DUMMYFUNCTION("""COMPUTED_VALUE"""),"二年級")</f>
        <v>二年級</v>
      </c>
      <c r="G317" s="10" t="str">
        <f>IFERROR(__xludf.DUMMYFUNCTION("""COMPUTED_VALUE"""),"獎狀")</f>
        <v>獎狀</v>
      </c>
      <c r="H317" s="11"/>
    </row>
    <row r="318">
      <c r="A318" s="5" t="s">
        <v>9</v>
      </c>
      <c r="B318" s="9" t="str">
        <f>IFERROR(__xludf.DUMMYFUNCTION("""COMPUTED_VALUE"""),"段O妤")</f>
        <v>段O妤</v>
      </c>
      <c r="C318" s="9" t="str">
        <f>IFERROR(__xludf.DUMMYFUNCTION("""COMPUTED_VALUE"""),"311*****ljh.kl.edu.tw")</f>
        <v>311*****ljh.kl.edu.tw</v>
      </c>
      <c r="D318" s="9" t="str">
        <f>IFERROR(__xludf.DUMMYFUNCTION("""COMPUTED_VALUE"""),"基隆市立安樂高級中學")</f>
        <v>基隆市立安樂高級中學</v>
      </c>
      <c r="E318" s="9" t="str">
        <f>IFERROR(__xludf.DUMMYFUNCTION("""COMPUTED_VALUE"""),"普通科")</f>
        <v>普通科</v>
      </c>
      <c r="F318" s="9" t="str">
        <f>IFERROR(__xludf.DUMMYFUNCTION("""COMPUTED_VALUE"""),"二年級")</f>
        <v>二年級</v>
      </c>
      <c r="G318" s="10" t="str">
        <f>IFERROR(__xludf.DUMMYFUNCTION("""COMPUTED_VALUE"""),"★商品卡$1000")</f>
        <v>★商品卡$1000</v>
      </c>
      <c r="H318" s="11"/>
    </row>
    <row r="319">
      <c r="A319" s="5" t="s">
        <v>9</v>
      </c>
      <c r="B319" s="9" t="str">
        <f>IFERROR(__xludf.DUMMYFUNCTION("""COMPUTED_VALUE"""),"邱O亭")</f>
        <v>邱O亭</v>
      </c>
      <c r="C319" s="9" t="str">
        <f>IFERROR(__xludf.DUMMYFUNCTION("""COMPUTED_VALUE"""),"311*****ljh.kl.edu.tw")</f>
        <v>311*****ljh.kl.edu.tw</v>
      </c>
      <c r="D319" s="9" t="str">
        <f>IFERROR(__xludf.DUMMYFUNCTION("""COMPUTED_VALUE"""),"基隆市立安樂高級中學")</f>
        <v>基隆市立安樂高級中學</v>
      </c>
      <c r="E319" s="9" t="str">
        <f>IFERROR(__xludf.DUMMYFUNCTION("""COMPUTED_VALUE"""),"普通科")</f>
        <v>普通科</v>
      </c>
      <c r="F319" s="9" t="str">
        <f>IFERROR(__xludf.DUMMYFUNCTION("""COMPUTED_VALUE"""),"二年級")</f>
        <v>二年級</v>
      </c>
      <c r="G319" s="10" t="str">
        <f>IFERROR(__xludf.DUMMYFUNCTION("""COMPUTED_VALUE"""),"獎狀")</f>
        <v>獎狀</v>
      </c>
      <c r="H319" s="11"/>
    </row>
    <row r="320">
      <c r="A320" s="5" t="s">
        <v>9</v>
      </c>
      <c r="B320" s="9" t="str">
        <f>IFERROR(__xludf.DUMMYFUNCTION("""COMPUTED_VALUE"""),"劉O源")</f>
        <v>劉O源</v>
      </c>
      <c r="C320" s="9" t="str">
        <f>IFERROR(__xludf.DUMMYFUNCTION("""COMPUTED_VALUE"""),"311*****ljh.kl.edu.tw")</f>
        <v>311*****ljh.kl.edu.tw</v>
      </c>
      <c r="D320" s="9" t="str">
        <f>IFERROR(__xludf.DUMMYFUNCTION("""COMPUTED_VALUE"""),"基隆市立安樂高級中學")</f>
        <v>基隆市立安樂高級中學</v>
      </c>
      <c r="E320" s="9" t="str">
        <f>IFERROR(__xludf.DUMMYFUNCTION("""COMPUTED_VALUE"""),"普通科")</f>
        <v>普通科</v>
      </c>
      <c r="F320" s="9" t="str">
        <f>IFERROR(__xludf.DUMMYFUNCTION("""COMPUTED_VALUE"""),"二年級")</f>
        <v>二年級</v>
      </c>
      <c r="G320" s="10" t="str">
        <f>IFERROR(__xludf.DUMMYFUNCTION("""COMPUTED_VALUE"""),"獎狀")</f>
        <v>獎狀</v>
      </c>
      <c r="H320" s="11" t="str">
        <f>IFERROR(__xludf.DUMMYFUNCTION("""COMPUTED_VALUE"""),"學籍資料不齊，請提供【就讀班級】")</f>
        <v>學籍資料不齊，請提供【就讀班級】</v>
      </c>
    </row>
    <row r="321">
      <c r="A321" s="5" t="s">
        <v>9</v>
      </c>
      <c r="B321" s="9" t="str">
        <f>IFERROR(__xludf.DUMMYFUNCTION("""COMPUTED_VALUE"""),"黃O侑")</f>
        <v>黃O侑</v>
      </c>
      <c r="C321" s="9" t="str">
        <f>IFERROR(__xludf.DUMMYFUNCTION("""COMPUTED_VALUE"""),"311*****ljh.kl.edu.tw")</f>
        <v>311*****ljh.kl.edu.tw</v>
      </c>
      <c r="D321" s="9" t="str">
        <f>IFERROR(__xludf.DUMMYFUNCTION("""COMPUTED_VALUE"""),"基隆市立安樂高級中學")</f>
        <v>基隆市立安樂高級中學</v>
      </c>
      <c r="E321" s="9" t="str">
        <f>IFERROR(__xludf.DUMMYFUNCTION("""COMPUTED_VALUE"""),"普通科")</f>
        <v>普通科</v>
      </c>
      <c r="F321" s="9" t="str">
        <f>IFERROR(__xludf.DUMMYFUNCTION("""COMPUTED_VALUE"""),"二年級")</f>
        <v>二年級</v>
      </c>
      <c r="G321" s="10" t="str">
        <f>IFERROR(__xludf.DUMMYFUNCTION("""COMPUTED_VALUE"""),"獎狀")</f>
        <v>獎狀</v>
      </c>
      <c r="H321" s="11"/>
    </row>
    <row r="322">
      <c r="A322" s="5" t="s">
        <v>9</v>
      </c>
      <c r="B322" s="9" t="str">
        <f>IFERROR(__xludf.DUMMYFUNCTION("""COMPUTED_VALUE"""),"簡O叡")</f>
        <v>簡O叡</v>
      </c>
      <c r="C322" s="9" t="str">
        <f>IFERROR(__xludf.DUMMYFUNCTION("""COMPUTED_VALUE"""),"311*****ljh.kl.edu.tw")</f>
        <v>311*****ljh.kl.edu.tw</v>
      </c>
      <c r="D322" s="9" t="str">
        <f>IFERROR(__xludf.DUMMYFUNCTION("""COMPUTED_VALUE"""),"基隆市立安樂高級中學")</f>
        <v>基隆市立安樂高級中學</v>
      </c>
      <c r="E322" s="9" t="str">
        <f>IFERROR(__xludf.DUMMYFUNCTION("""COMPUTED_VALUE"""),"普通科")</f>
        <v>普通科</v>
      </c>
      <c r="F322" s="9" t="str">
        <f>IFERROR(__xludf.DUMMYFUNCTION("""COMPUTED_VALUE"""),"二年級")</f>
        <v>二年級</v>
      </c>
      <c r="G322" s="10" t="str">
        <f>IFERROR(__xludf.DUMMYFUNCTION("""COMPUTED_VALUE"""),"獎狀")</f>
        <v>獎狀</v>
      </c>
      <c r="H322" s="11"/>
    </row>
    <row r="323">
      <c r="A323" s="5" t="s">
        <v>9</v>
      </c>
      <c r="B323" s="9" t="str">
        <f>IFERROR(__xludf.DUMMYFUNCTION("""COMPUTED_VALUE"""),"謝O汯")</f>
        <v>謝O汯</v>
      </c>
      <c r="C323" s="9" t="str">
        <f>IFERROR(__xludf.DUMMYFUNCTION("""COMPUTED_VALUE"""),"b98*****gmail.com")</f>
        <v>b98*****gmail.com</v>
      </c>
      <c r="D323" s="9" t="str">
        <f>IFERROR(__xludf.DUMMYFUNCTION("""COMPUTED_VALUE"""),"基隆市立安樂高級中學")</f>
        <v>基隆市立安樂高級中學</v>
      </c>
      <c r="E323" s="9" t="str">
        <f>IFERROR(__xludf.DUMMYFUNCTION("""COMPUTED_VALUE"""),"普通科")</f>
        <v>普通科</v>
      </c>
      <c r="F323" s="9" t="str">
        <f>IFERROR(__xludf.DUMMYFUNCTION("""COMPUTED_VALUE"""),"二年級")</f>
        <v>二年級</v>
      </c>
      <c r="G323" s="10" t="str">
        <f>IFERROR(__xludf.DUMMYFUNCTION("""COMPUTED_VALUE"""),"○商品卡$500")</f>
        <v>○商品卡$500</v>
      </c>
      <c r="H323" s="11"/>
    </row>
    <row r="324">
      <c r="A324" s="5" t="s">
        <v>9</v>
      </c>
      <c r="B324" s="9" t="str">
        <f>IFERROR(__xludf.DUMMYFUNCTION("""COMPUTED_VALUE"""),"葉O蓉")</f>
        <v>葉O蓉</v>
      </c>
      <c r="C324" s="9" t="str">
        <f>IFERROR(__xludf.DUMMYFUNCTION("""COMPUTED_VALUE"""),"311*****ljh.kl.edu.tw")</f>
        <v>311*****ljh.kl.edu.tw</v>
      </c>
      <c r="D324" s="9" t="str">
        <f>IFERROR(__xludf.DUMMYFUNCTION("""COMPUTED_VALUE"""),"基隆市立安樂高級中學")</f>
        <v>基隆市立安樂高級中學</v>
      </c>
      <c r="E324" s="9" t="str">
        <f>IFERROR(__xludf.DUMMYFUNCTION("""COMPUTED_VALUE"""),"普通科")</f>
        <v>普通科</v>
      </c>
      <c r="F324" s="9" t="str">
        <f>IFERROR(__xludf.DUMMYFUNCTION("""COMPUTED_VALUE"""),"二年級")</f>
        <v>二年級</v>
      </c>
      <c r="G324" s="10" t="str">
        <f>IFERROR(__xludf.DUMMYFUNCTION("""COMPUTED_VALUE"""),"獎狀")</f>
        <v>獎狀</v>
      </c>
      <c r="H324" s="11"/>
    </row>
    <row r="325">
      <c r="A325" s="5" t="s">
        <v>9</v>
      </c>
      <c r="B325" s="9" t="str">
        <f>IFERROR(__xludf.DUMMYFUNCTION("""COMPUTED_VALUE"""),"魏O安")</f>
        <v>魏O安</v>
      </c>
      <c r="C325" s="9" t="str">
        <f>IFERROR(__xludf.DUMMYFUNCTION("""COMPUTED_VALUE"""),"311*****ljh.kl.edu.tw")</f>
        <v>311*****ljh.kl.edu.tw</v>
      </c>
      <c r="D325" s="9" t="str">
        <f>IFERROR(__xludf.DUMMYFUNCTION("""COMPUTED_VALUE"""),"基隆市立安樂高級中學")</f>
        <v>基隆市立安樂高級中學</v>
      </c>
      <c r="E325" s="9" t="str">
        <f>IFERROR(__xludf.DUMMYFUNCTION("""COMPUTED_VALUE"""),"普通科")</f>
        <v>普通科</v>
      </c>
      <c r="F325" s="9" t="str">
        <f>IFERROR(__xludf.DUMMYFUNCTION("""COMPUTED_VALUE"""),"二年級")</f>
        <v>二年級</v>
      </c>
      <c r="G325" s="10" t="str">
        <f>IFERROR(__xludf.DUMMYFUNCTION("""COMPUTED_VALUE"""),"獎狀")</f>
        <v>獎狀</v>
      </c>
      <c r="H325" s="11"/>
    </row>
    <row r="326">
      <c r="A326" s="5" t="s">
        <v>9</v>
      </c>
      <c r="B326" s="9" t="str">
        <f>IFERROR(__xludf.DUMMYFUNCTION("""COMPUTED_VALUE"""),"郭O寧")</f>
        <v>郭O寧</v>
      </c>
      <c r="C326" s="9" t="str">
        <f>IFERROR(__xludf.DUMMYFUNCTION("""COMPUTED_VALUE"""),"311*****ljh.kl.edu.tw")</f>
        <v>311*****ljh.kl.edu.tw</v>
      </c>
      <c r="D326" s="9" t="str">
        <f>IFERROR(__xludf.DUMMYFUNCTION("""COMPUTED_VALUE"""),"基隆市立安樂高級中學")</f>
        <v>基隆市立安樂高級中學</v>
      </c>
      <c r="E326" s="9" t="str">
        <f>IFERROR(__xludf.DUMMYFUNCTION("""COMPUTED_VALUE"""),"普通科")</f>
        <v>普通科</v>
      </c>
      <c r="F326" s="9" t="str">
        <f>IFERROR(__xludf.DUMMYFUNCTION("""COMPUTED_VALUE"""),"二年級")</f>
        <v>二年級</v>
      </c>
      <c r="G326" s="10" t="str">
        <f>IFERROR(__xludf.DUMMYFUNCTION("""COMPUTED_VALUE"""),"獎狀")</f>
        <v>獎狀</v>
      </c>
      <c r="H326" s="11"/>
    </row>
    <row r="327">
      <c r="A327" s="5" t="s">
        <v>9</v>
      </c>
      <c r="B327" s="9" t="str">
        <f>IFERROR(__xludf.DUMMYFUNCTION("""COMPUTED_VALUE"""),"陳O諼")</f>
        <v>陳O諼</v>
      </c>
      <c r="C327" s="9" t="str">
        <f>IFERROR(__xludf.DUMMYFUNCTION("""COMPUTED_VALUE"""),"311*****ljh.kl.edu.tw")</f>
        <v>311*****ljh.kl.edu.tw</v>
      </c>
      <c r="D327" s="9" t="str">
        <f>IFERROR(__xludf.DUMMYFUNCTION("""COMPUTED_VALUE"""),"基隆市立安樂高級中學")</f>
        <v>基隆市立安樂高級中學</v>
      </c>
      <c r="E327" s="9" t="str">
        <f>IFERROR(__xludf.DUMMYFUNCTION("""COMPUTED_VALUE"""),"普通科")</f>
        <v>普通科</v>
      </c>
      <c r="F327" s="9" t="str">
        <f>IFERROR(__xludf.DUMMYFUNCTION("""COMPUTED_VALUE"""),"二年級")</f>
        <v>二年級</v>
      </c>
      <c r="G327" s="10" t="str">
        <f>IFERROR(__xludf.DUMMYFUNCTION("""COMPUTED_VALUE"""),"獎狀")</f>
        <v>獎狀</v>
      </c>
      <c r="H327" s="11"/>
    </row>
    <row r="328">
      <c r="A328" s="5" t="s">
        <v>9</v>
      </c>
      <c r="B328" s="9" t="str">
        <f>IFERROR(__xludf.DUMMYFUNCTION("""COMPUTED_VALUE"""),"連O安")</f>
        <v>連O安</v>
      </c>
      <c r="C328" s="9" t="str">
        <f>IFERROR(__xludf.DUMMYFUNCTION("""COMPUTED_VALUE"""),"311*****ljh.kl.edu.tw")</f>
        <v>311*****ljh.kl.edu.tw</v>
      </c>
      <c r="D328" s="9" t="str">
        <f>IFERROR(__xludf.DUMMYFUNCTION("""COMPUTED_VALUE"""),"基隆市立安樂高級中學")</f>
        <v>基隆市立安樂高級中學</v>
      </c>
      <c r="E328" s="9" t="str">
        <f>IFERROR(__xludf.DUMMYFUNCTION("""COMPUTED_VALUE"""),"普通科")</f>
        <v>普通科</v>
      </c>
      <c r="F328" s="9" t="str">
        <f>IFERROR(__xludf.DUMMYFUNCTION("""COMPUTED_VALUE"""),"二年級")</f>
        <v>二年級</v>
      </c>
      <c r="G328" s="10" t="str">
        <f>IFERROR(__xludf.DUMMYFUNCTION("""COMPUTED_VALUE"""),"■商品卡$200")</f>
        <v>■商品卡$200</v>
      </c>
      <c r="H328" s="11"/>
    </row>
    <row r="329">
      <c r="A329" s="5" t="s">
        <v>9</v>
      </c>
      <c r="B329" s="9" t="str">
        <f>IFERROR(__xludf.DUMMYFUNCTION("""COMPUTED_VALUE"""),"周O茵")</f>
        <v>周O茵</v>
      </c>
      <c r="C329" s="9" t="str">
        <f>IFERROR(__xludf.DUMMYFUNCTION("""COMPUTED_VALUE"""),"311*****ljh.kl.edu.tw")</f>
        <v>311*****ljh.kl.edu.tw</v>
      </c>
      <c r="D329" s="9" t="str">
        <f>IFERROR(__xludf.DUMMYFUNCTION("""COMPUTED_VALUE"""),"基隆市立安樂高級中學")</f>
        <v>基隆市立安樂高級中學</v>
      </c>
      <c r="E329" s="9" t="str">
        <f>IFERROR(__xludf.DUMMYFUNCTION("""COMPUTED_VALUE"""),"普通科")</f>
        <v>普通科</v>
      </c>
      <c r="F329" s="9" t="str">
        <f>IFERROR(__xludf.DUMMYFUNCTION("""COMPUTED_VALUE"""),"二年級")</f>
        <v>二年級</v>
      </c>
      <c r="G329" s="10" t="str">
        <f>IFERROR(__xludf.DUMMYFUNCTION("""COMPUTED_VALUE"""),"○商品卡$500")</f>
        <v>○商品卡$500</v>
      </c>
      <c r="H329" s="11"/>
    </row>
    <row r="330">
      <c r="A330" s="5" t="s">
        <v>9</v>
      </c>
      <c r="B330" s="9" t="str">
        <f>IFERROR(__xludf.DUMMYFUNCTION("""COMPUTED_VALUE"""),"張O誠")</f>
        <v>張O誠</v>
      </c>
      <c r="C330" s="9" t="str">
        <f>IFERROR(__xludf.DUMMYFUNCTION("""COMPUTED_VALUE"""),"311*****ljh.kl.edu.tw")</f>
        <v>311*****ljh.kl.edu.tw</v>
      </c>
      <c r="D330" s="9" t="str">
        <f>IFERROR(__xludf.DUMMYFUNCTION("""COMPUTED_VALUE"""),"基隆市立安樂高級中學")</f>
        <v>基隆市立安樂高級中學</v>
      </c>
      <c r="E330" s="9" t="str">
        <f>IFERROR(__xludf.DUMMYFUNCTION("""COMPUTED_VALUE"""),"普通科")</f>
        <v>普通科</v>
      </c>
      <c r="F330" s="9" t="str">
        <f>IFERROR(__xludf.DUMMYFUNCTION("""COMPUTED_VALUE"""),"二年級")</f>
        <v>二年級</v>
      </c>
      <c r="G330" s="10" t="str">
        <f>IFERROR(__xludf.DUMMYFUNCTION("""COMPUTED_VALUE"""),"獎狀")</f>
        <v>獎狀</v>
      </c>
      <c r="H330" s="11"/>
    </row>
    <row r="331">
      <c r="A331" s="5" t="s">
        <v>9</v>
      </c>
      <c r="B331" s="9" t="str">
        <f>IFERROR(__xludf.DUMMYFUNCTION("""COMPUTED_VALUE"""),"吳O禛")</f>
        <v>吳O禛</v>
      </c>
      <c r="C331" s="9" t="str">
        <f>IFERROR(__xludf.DUMMYFUNCTION("""COMPUTED_VALUE"""),"311*****ljh.kl.edu.tw")</f>
        <v>311*****ljh.kl.edu.tw</v>
      </c>
      <c r="D331" s="9" t="str">
        <f>IFERROR(__xludf.DUMMYFUNCTION("""COMPUTED_VALUE"""),"基隆市立安樂高級中學")</f>
        <v>基隆市立安樂高級中學</v>
      </c>
      <c r="E331" s="9" t="str">
        <f>IFERROR(__xludf.DUMMYFUNCTION("""COMPUTED_VALUE"""),"普通科")</f>
        <v>普通科</v>
      </c>
      <c r="F331" s="9" t="str">
        <f>IFERROR(__xludf.DUMMYFUNCTION("""COMPUTED_VALUE"""),"二年級")</f>
        <v>二年級</v>
      </c>
      <c r="G331" s="10" t="str">
        <f>IFERROR(__xludf.DUMMYFUNCTION("""COMPUTED_VALUE"""),"○商品卡$500")</f>
        <v>○商品卡$500</v>
      </c>
      <c r="H331" s="11"/>
    </row>
    <row r="332">
      <c r="A332" s="5" t="s">
        <v>9</v>
      </c>
      <c r="B332" s="9" t="str">
        <f>IFERROR(__xludf.DUMMYFUNCTION("""COMPUTED_VALUE"""),"簡O馨")</f>
        <v>簡O馨</v>
      </c>
      <c r="C332" s="9" t="str">
        <f>IFERROR(__xludf.DUMMYFUNCTION("""COMPUTED_VALUE"""),"jia*****ne37@gmail.com")</f>
        <v>jia*****ne37@gmail.com</v>
      </c>
      <c r="D332" s="9" t="str">
        <f>IFERROR(__xludf.DUMMYFUNCTION("""COMPUTED_VALUE"""),"基隆市立安樂高級中學")</f>
        <v>基隆市立安樂高級中學</v>
      </c>
      <c r="E332" s="9" t="str">
        <f>IFERROR(__xludf.DUMMYFUNCTION("""COMPUTED_VALUE"""),"普通科")</f>
        <v>普通科</v>
      </c>
      <c r="F332" s="9" t="str">
        <f>IFERROR(__xludf.DUMMYFUNCTION("""COMPUTED_VALUE"""),"二年級")</f>
        <v>二年級</v>
      </c>
      <c r="G332" s="10" t="str">
        <f>IFERROR(__xludf.DUMMYFUNCTION("""COMPUTED_VALUE"""),"獎狀")</f>
        <v>獎狀</v>
      </c>
      <c r="H332" s="11"/>
    </row>
    <row r="333">
      <c r="A333" s="5" t="s">
        <v>9</v>
      </c>
      <c r="B333" s="9" t="str">
        <f>IFERROR(__xludf.DUMMYFUNCTION("""COMPUTED_VALUE"""),"賴O喬")</f>
        <v>賴O喬</v>
      </c>
      <c r="C333" s="9" t="str">
        <f>IFERROR(__xludf.DUMMYFUNCTION("""COMPUTED_VALUE"""),"391*****ljh.kl.edu.tw")</f>
        <v>391*****ljh.kl.edu.tw</v>
      </c>
      <c r="D333" s="9" t="str">
        <f>IFERROR(__xludf.DUMMYFUNCTION("""COMPUTED_VALUE"""),"基隆市立安樂高級中學")</f>
        <v>基隆市立安樂高級中學</v>
      </c>
      <c r="E333" s="9" t="str">
        <f>IFERROR(__xludf.DUMMYFUNCTION("""COMPUTED_VALUE"""),"普通科")</f>
        <v>普通科</v>
      </c>
      <c r="F333" s="9" t="str">
        <f>IFERROR(__xludf.DUMMYFUNCTION("""COMPUTED_VALUE"""),"二年級")</f>
        <v>二年級</v>
      </c>
      <c r="G333" s="10" t="str">
        <f>IFERROR(__xludf.DUMMYFUNCTION("""COMPUTED_VALUE"""),"獎狀")</f>
        <v>獎狀</v>
      </c>
      <c r="H333" s="11"/>
    </row>
    <row r="334">
      <c r="A334" s="5" t="s">
        <v>9</v>
      </c>
      <c r="B334" s="9" t="str">
        <f>IFERROR(__xludf.DUMMYFUNCTION("""COMPUTED_VALUE"""),"胡O紜")</f>
        <v>胡O紜</v>
      </c>
      <c r="C334" s="9" t="str">
        <f>IFERROR(__xludf.DUMMYFUNCTION("""COMPUTED_VALUE"""),"391*****ljh.kl.edu.tw")</f>
        <v>391*****ljh.kl.edu.tw</v>
      </c>
      <c r="D334" s="9" t="str">
        <f>IFERROR(__xludf.DUMMYFUNCTION("""COMPUTED_VALUE"""),"基隆市立安樂高級中學")</f>
        <v>基隆市立安樂高級中學</v>
      </c>
      <c r="E334" s="9" t="str">
        <f>IFERROR(__xludf.DUMMYFUNCTION("""COMPUTED_VALUE"""),"普通科")</f>
        <v>普通科</v>
      </c>
      <c r="F334" s="9" t="str">
        <f>IFERROR(__xludf.DUMMYFUNCTION("""COMPUTED_VALUE"""),"二年級")</f>
        <v>二年級</v>
      </c>
      <c r="G334" s="10" t="str">
        <f>IFERROR(__xludf.DUMMYFUNCTION("""COMPUTED_VALUE"""),"獎狀")</f>
        <v>獎狀</v>
      </c>
      <c r="H334" s="11" t="str">
        <f>IFERROR(__xludf.DUMMYFUNCTION("""COMPUTED_VALUE"""),"學籍資料不齊，請提供【就讀班級】")</f>
        <v>學籍資料不齊，請提供【就讀班級】</v>
      </c>
    </row>
    <row r="335">
      <c r="A335" s="5" t="s">
        <v>9</v>
      </c>
      <c r="B335" s="9" t="str">
        <f>IFERROR(__xludf.DUMMYFUNCTION("""COMPUTED_VALUE"""),"劉O瑜")</f>
        <v>劉O瑜</v>
      </c>
      <c r="C335" s="9" t="str">
        <f>IFERROR(__xludf.DUMMYFUNCTION("""COMPUTED_VALUE"""),"391*****ljh.kl.edu.tw")</f>
        <v>391*****ljh.kl.edu.tw</v>
      </c>
      <c r="D335" s="9" t="str">
        <f>IFERROR(__xludf.DUMMYFUNCTION("""COMPUTED_VALUE"""),"基隆市立安樂高級中學")</f>
        <v>基隆市立安樂高級中學</v>
      </c>
      <c r="E335" s="9" t="str">
        <f>IFERROR(__xludf.DUMMYFUNCTION("""COMPUTED_VALUE"""),"普通科")</f>
        <v>普通科</v>
      </c>
      <c r="F335" s="9" t="str">
        <f>IFERROR(__xludf.DUMMYFUNCTION("""COMPUTED_VALUE"""),"二年級")</f>
        <v>二年級</v>
      </c>
      <c r="G335" s="10" t="str">
        <f>IFERROR(__xludf.DUMMYFUNCTION("""COMPUTED_VALUE"""),"獎狀")</f>
        <v>獎狀</v>
      </c>
      <c r="H335" s="11" t="str">
        <f>IFERROR(__xludf.DUMMYFUNCTION("""COMPUTED_VALUE"""),"學籍資料不齊，請提供【就讀班級】")</f>
        <v>學籍資料不齊，請提供【就讀班級】</v>
      </c>
    </row>
    <row r="336">
      <c r="A336" s="5" t="s">
        <v>9</v>
      </c>
      <c r="B336" s="9" t="str">
        <f>IFERROR(__xludf.DUMMYFUNCTION("""COMPUTED_VALUE"""),"楊O鈞")</f>
        <v>楊O鈞</v>
      </c>
      <c r="C336" s="9" t="str">
        <f>IFERROR(__xludf.DUMMYFUNCTION("""COMPUTED_VALUE"""),"391*****ljh.kl.edu.tw")</f>
        <v>391*****ljh.kl.edu.tw</v>
      </c>
      <c r="D336" s="9" t="str">
        <f>IFERROR(__xludf.DUMMYFUNCTION("""COMPUTED_VALUE"""),"基隆市立安樂高級中學")</f>
        <v>基隆市立安樂高級中學</v>
      </c>
      <c r="E336" s="9" t="str">
        <f>IFERROR(__xludf.DUMMYFUNCTION("""COMPUTED_VALUE"""),"普通科")</f>
        <v>普通科</v>
      </c>
      <c r="F336" s="9" t="str">
        <f>IFERROR(__xludf.DUMMYFUNCTION("""COMPUTED_VALUE"""),"二年級")</f>
        <v>二年級</v>
      </c>
      <c r="G336" s="10" t="str">
        <f>IFERROR(__xludf.DUMMYFUNCTION("""COMPUTED_VALUE"""),"獎狀")</f>
        <v>獎狀</v>
      </c>
      <c r="H336" s="11"/>
    </row>
    <row r="337">
      <c r="A337" s="5" t="s">
        <v>9</v>
      </c>
      <c r="B337" s="9" t="str">
        <f>IFERROR(__xludf.DUMMYFUNCTION("""COMPUTED_VALUE"""),"林O銘")</f>
        <v>林O銘</v>
      </c>
      <c r="C337" s="9" t="str">
        <f>IFERROR(__xludf.DUMMYFUNCTION("""COMPUTED_VALUE"""),"391*****ljh.kl.edu.tw")</f>
        <v>391*****ljh.kl.edu.tw</v>
      </c>
      <c r="D337" s="9" t="str">
        <f>IFERROR(__xludf.DUMMYFUNCTION("""COMPUTED_VALUE"""),"基隆市立安樂高級中學")</f>
        <v>基隆市立安樂高級中學</v>
      </c>
      <c r="E337" s="9" t="str">
        <f>IFERROR(__xludf.DUMMYFUNCTION("""COMPUTED_VALUE"""),"普通科")</f>
        <v>普通科</v>
      </c>
      <c r="F337" s="9" t="str">
        <f>IFERROR(__xludf.DUMMYFUNCTION("""COMPUTED_VALUE"""),"二年級")</f>
        <v>二年級</v>
      </c>
      <c r="G337" s="10" t="str">
        <f>IFERROR(__xludf.DUMMYFUNCTION("""COMPUTED_VALUE"""),"獎狀")</f>
        <v>獎狀</v>
      </c>
      <c r="H337" s="11"/>
    </row>
    <row r="338">
      <c r="A338" s="5" t="s">
        <v>9</v>
      </c>
      <c r="B338" s="9" t="str">
        <f>IFERROR(__xludf.DUMMYFUNCTION("""COMPUTED_VALUE"""),"蔡O辰")</f>
        <v>蔡O辰</v>
      </c>
      <c r="C338" s="9" t="str">
        <f>IFERROR(__xludf.DUMMYFUNCTION("""COMPUTED_VALUE"""),"391*****ljh.kl.edu.tw")</f>
        <v>391*****ljh.kl.edu.tw</v>
      </c>
      <c r="D338" s="9" t="str">
        <f>IFERROR(__xludf.DUMMYFUNCTION("""COMPUTED_VALUE"""),"基隆市立安樂高級中學")</f>
        <v>基隆市立安樂高級中學</v>
      </c>
      <c r="E338" s="9" t="str">
        <f>IFERROR(__xludf.DUMMYFUNCTION("""COMPUTED_VALUE"""),"普通科")</f>
        <v>普通科</v>
      </c>
      <c r="F338" s="9" t="str">
        <f>IFERROR(__xludf.DUMMYFUNCTION("""COMPUTED_VALUE"""),"二年級")</f>
        <v>二年級</v>
      </c>
      <c r="G338" s="10" t="str">
        <f>IFERROR(__xludf.DUMMYFUNCTION("""COMPUTED_VALUE"""),"獎狀")</f>
        <v>獎狀</v>
      </c>
      <c r="H338" s="11"/>
    </row>
    <row r="339">
      <c r="A339" s="5" t="s">
        <v>9</v>
      </c>
      <c r="B339" s="9" t="str">
        <f>IFERROR(__xludf.DUMMYFUNCTION("""COMPUTED_VALUE"""),"鄔O祈")</f>
        <v>鄔O祈</v>
      </c>
      <c r="C339" s="9" t="str">
        <f>IFERROR(__xludf.DUMMYFUNCTION("""COMPUTED_VALUE"""),"391*****ljh.kl.edu.tw")</f>
        <v>391*****ljh.kl.edu.tw</v>
      </c>
      <c r="D339" s="9" t="str">
        <f>IFERROR(__xludf.DUMMYFUNCTION("""COMPUTED_VALUE"""),"基隆市立安樂高級中學")</f>
        <v>基隆市立安樂高級中學</v>
      </c>
      <c r="E339" s="9" t="str">
        <f>IFERROR(__xludf.DUMMYFUNCTION("""COMPUTED_VALUE"""),"普通科")</f>
        <v>普通科</v>
      </c>
      <c r="F339" s="9" t="str">
        <f>IFERROR(__xludf.DUMMYFUNCTION("""COMPUTED_VALUE"""),"二年級")</f>
        <v>二年級</v>
      </c>
      <c r="G339" s="10" t="str">
        <f>IFERROR(__xludf.DUMMYFUNCTION("""COMPUTED_VALUE"""),"獎狀")</f>
        <v>獎狀</v>
      </c>
      <c r="H339" s="11"/>
    </row>
    <row r="340">
      <c r="A340" s="5" t="s">
        <v>9</v>
      </c>
      <c r="B340" s="9" t="str">
        <f>IFERROR(__xludf.DUMMYFUNCTION("""COMPUTED_VALUE"""),"許O淳")</f>
        <v>許O淳</v>
      </c>
      <c r="C340" s="9" t="str">
        <f>IFERROR(__xludf.DUMMYFUNCTION("""COMPUTED_VALUE"""),"391*****ljh.kl.edu.tw")</f>
        <v>391*****ljh.kl.edu.tw</v>
      </c>
      <c r="D340" s="9" t="str">
        <f>IFERROR(__xludf.DUMMYFUNCTION("""COMPUTED_VALUE"""),"基隆市立安樂高級中學")</f>
        <v>基隆市立安樂高級中學</v>
      </c>
      <c r="E340" s="9" t="str">
        <f>IFERROR(__xludf.DUMMYFUNCTION("""COMPUTED_VALUE"""),"普通科")</f>
        <v>普通科</v>
      </c>
      <c r="F340" s="9" t="str">
        <f>IFERROR(__xludf.DUMMYFUNCTION("""COMPUTED_VALUE"""),"二年級")</f>
        <v>二年級</v>
      </c>
      <c r="G340" s="10" t="str">
        <f>IFERROR(__xludf.DUMMYFUNCTION("""COMPUTED_VALUE"""),"獎狀")</f>
        <v>獎狀</v>
      </c>
      <c r="H340" s="11"/>
    </row>
    <row r="341">
      <c r="A341" s="5" t="s">
        <v>9</v>
      </c>
      <c r="B341" s="9" t="str">
        <f>IFERROR(__xludf.DUMMYFUNCTION("""COMPUTED_VALUE"""),"吳O羿")</f>
        <v>吳O羿</v>
      </c>
      <c r="C341" s="9" t="str">
        <f>IFERROR(__xludf.DUMMYFUNCTION("""COMPUTED_VALUE"""),"391*****ljh.kl.edu.tw")</f>
        <v>391*****ljh.kl.edu.tw</v>
      </c>
      <c r="D341" s="9" t="str">
        <f>IFERROR(__xludf.DUMMYFUNCTION("""COMPUTED_VALUE"""),"基隆市立安樂高級中學")</f>
        <v>基隆市立安樂高級中學</v>
      </c>
      <c r="E341" s="9" t="str">
        <f>IFERROR(__xludf.DUMMYFUNCTION("""COMPUTED_VALUE"""),"普通科")</f>
        <v>普通科</v>
      </c>
      <c r="F341" s="9" t="str">
        <f>IFERROR(__xludf.DUMMYFUNCTION("""COMPUTED_VALUE"""),"二年級")</f>
        <v>二年級</v>
      </c>
      <c r="G341" s="10" t="str">
        <f>IFERROR(__xludf.DUMMYFUNCTION("""COMPUTED_VALUE"""),"獎狀")</f>
        <v>獎狀</v>
      </c>
      <c r="H341" s="11"/>
    </row>
    <row r="342">
      <c r="A342" s="5" t="s">
        <v>9</v>
      </c>
      <c r="B342" s="9" t="str">
        <f>IFERROR(__xludf.DUMMYFUNCTION("""COMPUTED_VALUE"""),"劉O萱")</f>
        <v>劉O萱</v>
      </c>
      <c r="C342" s="9" t="str">
        <f>IFERROR(__xludf.DUMMYFUNCTION("""COMPUTED_VALUE"""),"391*****ljh.kl.edu.tw")</f>
        <v>391*****ljh.kl.edu.tw</v>
      </c>
      <c r="D342" s="9" t="str">
        <f>IFERROR(__xludf.DUMMYFUNCTION("""COMPUTED_VALUE"""),"基隆市立安樂高級中學")</f>
        <v>基隆市立安樂高級中學</v>
      </c>
      <c r="E342" s="9" t="str">
        <f>IFERROR(__xludf.DUMMYFUNCTION("""COMPUTED_VALUE"""),"普通科")</f>
        <v>普通科</v>
      </c>
      <c r="F342" s="9" t="str">
        <f>IFERROR(__xludf.DUMMYFUNCTION("""COMPUTED_VALUE"""),"二年級")</f>
        <v>二年級</v>
      </c>
      <c r="G342" s="10" t="str">
        <f>IFERROR(__xludf.DUMMYFUNCTION("""COMPUTED_VALUE"""),"獎狀")</f>
        <v>獎狀</v>
      </c>
      <c r="H342" s="11"/>
    </row>
    <row r="343">
      <c r="A343" s="5" t="s">
        <v>9</v>
      </c>
      <c r="B343" s="9" t="str">
        <f>IFERROR(__xludf.DUMMYFUNCTION("""COMPUTED_VALUE"""),"劉O妃")</f>
        <v>劉O妃</v>
      </c>
      <c r="C343" s="9" t="str">
        <f>IFERROR(__xludf.DUMMYFUNCTION("""COMPUTED_VALUE"""),"391*****ljh.kl.edu.tw")</f>
        <v>391*****ljh.kl.edu.tw</v>
      </c>
      <c r="D343" s="9" t="str">
        <f>IFERROR(__xludf.DUMMYFUNCTION("""COMPUTED_VALUE"""),"基隆市立安樂高級中學")</f>
        <v>基隆市立安樂高級中學</v>
      </c>
      <c r="E343" s="9" t="str">
        <f>IFERROR(__xludf.DUMMYFUNCTION("""COMPUTED_VALUE"""),"普通科")</f>
        <v>普通科</v>
      </c>
      <c r="F343" s="9" t="str">
        <f>IFERROR(__xludf.DUMMYFUNCTION("""COMPUTED_VALUE"""),"二年級")</f>
        <v>二年級</v>
      </c>
      <c r="G343" s="10" t="str">
        <f>IFERROR(__xludf.DUMMYFUNCTION("""COMPUTED_VALUE"""),"獎狀")</f>
        <v>獎狀</v>
      </c>
      <c r="H343" s="11"/>
    </row>
    <row r="344">
      <c r="A344" s="5" t="s">
        <v>9</v>
      </c>
      <c r="B344" s="9" t="str">
        <f>IFERROR(__xludf.DUMMYFUNCTION("""COMPUTED_VALUE"""),"鄭O妡")</f>
        <v>鄭O妡</v>
      </c>
      <c r="C344" s="9" t="str">
        <f>IFERROR(__xludf.DUMMYFUNCTION("""COMPUTED_VALUE"""),"app*****am94z@gmail.com")</f>
        <v>app*****am94z@gmail.com</v>
      </c>
      <c r="D344" s="9" t="str">
        <f>IFERROR(__xludf.DUMMYFUNCTION("""COMPUTED_VALUE"""),"基隆市立安樂高級中學")</f>
        <v>基隆市立安樂高級中學</v>
      </c>
      <c r="E344" s="9" t="str">
        <f>IFERROR(__xludf.DUMMYFUNCTION("""COMPUTED_VALUE"""),"普通科")</f>
        <v>普通科</v>
      </c>
      <c r="F344" s="9" t="str">
        <f>IFERROR(__xludf.DUMMYFUNCTION("""COMPUTED_VALUE"""),"二年級")</f>
        <v>二年級</v>
      </c>
      <c r="G344" s="10" t="str">
        <f>IFERROR(__xludf.DUMMYFUNCTION("""COMPUTED_VALUE"""),"獎狀")</f>
        <v>獎狀</v>
      </c>
      <c r="H344" s="11" t="str">
        <f>IFERROR(__xludf.DUMMYFUNCTION("""COMPUTED_VALUE"""),"學籍資料不齊，請提供【就讀班級】")</f>
        <v>學籍資料不齊，請提供【就讀班級】</v>
      </c>
    </row>
    <row r="345">
      <c r="A345" s="5" t="s">
        <v>9</v>
      </c>
      <c r="B345" s="9" t="str">
        <f>IFERROR(__xludf.DUMMYFUNCTION("""COMPUTED_VALUE"""),"廖O棠")</f>
        <v>廖O棠</v>
      </c>
      <c r="C345" s="9" t="str">
        <f>IFERROR(__xludf.DUMMYFUNCTION("""COMPUTED_VALUE"""),"391*****ljh.kl.edu.tw")</f>
        <v>391*****ljh.kl.edu.tw</v>
      </c>
      <c r="D345" s="9" t="str">
        <f>IFERROR(__xludf.DUMMYFUNCTION("""COMPUTED_VALUE"""),"基隆市立安樂高級中學")</f>
        <v>基隆市立安樂高級中學</v>
      </c>
      <c r="E345" s="9" t="str">
        <f>IFERROR(__xludf.DUMMYFUNCTION("""COMPUTED_VALUE"""),"普通科")</f>
        <v>普通科</v>
      </c>
      <c r="F345" s="9" t="str">
        <f>IFERROR(__xludf.DUMMYFUNCTION("""COMPUTED_VALUE"""),"二年級")</f>
        <v>二年級</v>
      </c>
      <c r="G345" s="10" t="str">
        <f>IFERROR(__xludf.DUMMYFUNCTION("""COMPUTED_VALUE"""),"獎狀")</f>
        <v>獎狀</v>
      </c>
      <c r="H345" s="11"/>
    </row>
    <row r="346">
      <c r="A346" s="5" t="s">
        <v>9</v>
      </c>
      <c r="B346" s="9" t="str">
        <f>IFERROR(__xludf.DUMMYFUNCTION("""COMPUTED_VALUE"""),"謝O吟")</f>
        <v>謝O吟</v>
      </c>
      <c r="C346" s="9" t="str">
        <f>IFERROR(__xludf.DUMMYFUNCTION("""COMPUTED_VALUE"""),"391*****ljh.kl.edu.tw")</f>
        <v>391*****ljh.kl.edu.tw</v>
      </c>
      <c r="D346" s="9" t="str">
        <f>IFERROR(__xludf.DUMMYFUNCTION("""COMPUTED_VALUE"""),"基隆市立安樂高級中學")</f>
        <v>基隆市立安樂高級中學</v>
      </c>
      <c r="E346" s="9" t="str">
        <f>IFERROR(__xludf.DUMMYFUNCTION("""COMPUTED_VALUE"""),"普通科")</f>
        <v>普通科</v>
      </c>
      <c r="F346" s="9" t="str">
        <f>IFERROR(__xludf.DUMMYFUNCTION("""COMPUTED_VALUE"""),"二年級")</f>
        <v>二年級</v>
      </c>
      <c r="G346" s="10" t="str">
        <f>IFERROR(__xludf.DUMMYFUNCTION("""COMPUTED_VALUE"""),"獎狀")</f>
        <v>獎狀</v>
      </c>
      <c r="H346" s="11" t="str">
        <f>IFERROR(__xludf.DUMMYFUNCTION("""COMPUTED_VALUE"""),"學籍資料不齊，請提供【就讀班級】")</f>
        <v>學籍資料不齊，請提供【就讀班級】</v>
      </c>
    </row>
    <row r="347">
      <c r="A347" s="5" t="s">
        <v>9</v>
      </c>
      <c r="B347" s="9" t="str">
        <f>IFERROR(__xludf.DUMMYFUNCTION("""COMPUTED_VALUE"""),"蔣O妡")</f>
        <v>蔣O妡</v>
      </c>
      <c r="C347" s="9" t="str">
        <f>IFERROR(__xludf.DUMMYFUNCTION("""COMPUTED_VALUE"""),"391*****ljh.kl.edu.tw")</f>
        <v>391*****ljh.kl.edu.tw</v>
      </c>
      <c r="D347" s="9" t="str">
        <f>IFERROR(__xludf.DUMMYFUNCTION("""COMPUTED_VALUE"""),"基隆市立安樂高級中學")</f>
        <v>基隆市立安樂高級中學</v>
      </c>
      <c r="E347" s="9" t="str">
        <f>IFERROR(__xludf.DUMMYFUNCTION("""COMPUTED_VALUE"""),"普通科")</f>
        <v>普通科</v>
      </c>
      <c r="F347" s="9" t="str">
        <f>IFERROR(__xludf.DUMMYFUNCTION("""COMPUTED_VALUE"""),"二年級")</f>
        <v>二年級</v>
      </c>
      <c r="G347" s="10" t="str">
        <f>IFERROR(__xludf.DUMMYFUNCTION("""COMPUTED_VALUE"""),"獎狀")</f>
        <v>獎狀</v>
      </c>
      <c r="H347" s="11" t="str">
        <f>IFERROR(__xludf.DUMMYFUNCTION("""COMPUTED_VALUE"""),"學籍資料不齊，請提供【就讀班級】")</f>
        <v>學籍資料不齊，請提供【就讀班級】</v>
      </c>
    </row>
    <row r="348">
      <c r="A348" s="5" t="s">
        <v>9</v>
      </c>
      <c r="B348" s="9" t="str">
        <f>IFERROR(__xludf.DUMMYFUNCTION("""COMPUTED_VALUE"""),"林O辰")</f>
        <v>林O辰</v>
      </c>
      <c r="C348" s="9" t="str">
        <f>IFERROR(__xludf.DUMMYFUNCTION("""COMPUTED_VALUE"""),"swa*****2283600@gmail.com")</f>
        <v>swa*****2283600@gmail.com</v>
      </c>
      <c r="D348" s="9" t="str">
        <f>IFERROR(__xludf.DUMMYFUNCTION("""COMPUTED_VALUE"""),"基隆市立安樂高級中學")</f>
        <v>基隆市立安樂高級中學</v>
      </c>
      <c r="E348" s="9" t="str">
        <f>IFERROR(__xludf.DUMMYFUNCTION("""COMPUTED_VALUE"""),"普通科")</f>
        <v>普通科</v>
      </c>
      <c r="F348" s="9" t="str">
        <f>IFERROR(__xludf.DUMMYFUNCTION("""COMPUTED_VALUE"""),"二年級")</f>
        <v>二年級</v>
      </c>
      <c r="G348" s="10" t="str">
        <f>IFERROR(__xludf.DUMMYFUNCTION("""COMPUTED_VALUE"""),"獎狀")</f>
        <v>獎狀</v>
      </c>
      <c r="H348" s="11" t="str">
        <f>IFERROR(__xludf.DUMMYFUNCTION("""COMPUTED_VALUE"""),"學籍資料不齊，請提供【就讀班級】")</f>
        <v>學籍資料不齊，請提供【就讀班級】</v>
      </c>
    </row>
    <row r="349">
      <c r="A349" s="5" t="s">
        <v>9</v>
      </c>
      <c r="B349" s="9" t="str">
        <f>IFERROR(__xludf.DUMMYFUNCTION("""COMPUTED_VALUE"""),"林O軒")</f>
        <v>林O軒</v>
      </c>
      <c r="C349" s="9" t="str">
        <f>IFERROR(__xludf.DUMMYFUNCTION("""COMPUTED_VALUE"""),"rui*****80828@gmail.com")</f>
        <v>rui*****80828@gmail.com</v>
      </c>
      <c r="D349" s="9" t="str">
        <f>IFERROR(__xludf.DUMMYFUNCTION("""COMPUTED_VALUE"""),"國立基隆高級中學")</f>
        <v>國立基隆高級中學</v>
      </c>
      <c r="E349" s="9" t="str">
        <f>IFERROR(__xludf.DUMMYFUNCTION("""COMPUTED_VALUE"""),"普通科")</f>
        <v>普通科</v>
      </c>
      <c r="F349" s="9" t="str">
        <f>IFERROR(__xludf.DUMMYFUNCTION("""COMPUTED_VALUE"""),"二年級")</f>
        <v>二年級</v>
      </c>
      <c r="G349" s="10" t="str">
        <f>IFERROR(__xludf.DUMMYFUNCTION("""COMPUTED_VALUE"""),"■商品卡$200")</f>
        <v>■商品卡$200</v>
      </c>
      <c r="H349" s="9"/>
    </row>
    <row r="350">
      <c r="A350" s="5" t="s">
        <v>9</v>
      </c>
      <c r="B350" s="9" t="str">
        <f>IFERROR(__xludf.DUMMYFUNCTION("""COMPUTED_VALUE"""),"方O維")</f>
        <v>方O維</v>
      </c>
      <c r="C350" s="9" t="str">
        <f>IFERROR(__xludf.DUMMYFUNCTION("""COMPUTED_VALUE"""),"jap*****29.tp@mail.edu.tw")</f>
        <v>jap*****29.tp@mail.edu.tw</v>
      </c>
      <c r="D350" s="9" t="str">
        <f>IFERROR(__xludf.DUMMYFUNCTION("""COMPUTED_VALUE"""),"國立基隆高級中學")</f>
        <v>國立基隆高級中學</v>
      </c>
      <c r="E350" s="9" t="str">
        <f>IFERROR(__xludf.DUMMYFUNCTION("""COMPUTED_VALUE"""),"普通科")</f>
        <v>普通科</v>
      </c>
      <c r="F350" s="9" t="str">
        <f>IFERROR(__xludf.DUMMYFUNCTION("""COMPUTED_VALUE"""),"二年級")</f>
        <v>二年級</v>
      </c>
      <c r="G350" s="10" t="str">
        <f>IFERROR(__xludf.DUMMYFUNCTION("""COMPUTED_VALUE"""),"獎狀")</f>
        <v>獎狀</v>
      </c>
      <c r="H350" s="11"/>
    </row>
    <row r="351">
      <c r="A351" s="5" t="s">
        <v>9</v>
      </c>
      <c r="B351" s="9" t="str">
        <f>IFERROR(__xludf.DUMMYFUNCTION("""COMPUTED_VALUE"""),"張O溱")</f>
        <v>張O溱</v>
      </c>
      <c r="C351" s="9" t="str">
        <f>IFERROR(__xludf.DUMMYFUNCTION("""COMPUTED_VALUE"""),"kir*****g1998@gmail.com")</f>
        <v>kir*****g1998@gmail.com</v>
      </c>
      <c r="D351" s="9" t="str">
        <f>IFERROR(__xludf.DUMMYFUNCTION("""COMPUTED_VALUE"""),"國立華僑高級中等學校")</f>
        <v>國立華僑高級中等學校</v>
      </c>
      <c r="E351" s="9" t="str">
        <f>IFERROR(__xludf.DUMMYFUNCTION("""COMPUTED_VALUE"""),"普通科")</f>
        <v>普通科</v>
      </c>
      <c r="F351" s="9" t="str">
        <f>IFERROR(__xludf.DUMMYFUNCTION("""COMPUTED_VALUE"""),"一年級")</f>
        <v>一年級</v>
      </c>
      <c r="G351" s="10" t="str">
        <f>IFERROR(__xludf.DUMMYFUNCTION("""COMPUTED_VALUE"""),"獎狀")</f>
        <v>獎狀</v>
      </c>
      <c r="H351" s="11"/>
    </row>
    <row r="352">
      <c r="A352" s="5" t="s">
        <v>9</v>
      </c>
      <c r="B352" s="9" t="str">
        <f>IFERROR(__xludf.DUMMYFUNCTION("""COMPUTED_VALUE"""),"林O瑜")</f>
        <v>林O瑜</v>
      </c>
      <c r="C352" s="9" t="str">
        <f>IFERROR(__xludf.DUMMYFUNCTION("""COMPUTED_VALUE"""),"s31*****nocsh.ntpc.edu.tw")</f>
        <v>s31*****nocsh.ntpc.edu.tw</v>
      </c>
      <c r="D352" s="9" t="str">
        <f>IFERROR(__xludf.DUMMYFUNCTION("""COMPUTED_VALUE"""),"國立華僑高級中等學校")</f>
        <v>國立華僑高級中等學校</v>
      </c>
      <c r="E352" s="9" t="str">
        <f>IFERROR(__xludf.DUMMYFUNCTION("""COMPUTED_VALUE"""),"普通科")</f>
        <v>普通科</v>
      </c>
      <c r="F352" s="9" t="str">
        <f>IFERROR(__xludf.DUMMYFUNCTION("""COMPUTED_VALUE"""),"二年級")</f>
        <v>二年級</v>
      </c>
      <c r="G352" s="10" t="str">
        <f>IFERROR(__xludf.DUMMYFUNCTION("""COMPUTED_VALUE"""),"獎狀")</f>
        <v>獎狀</v>
      </c>
      <c r="H352" s="9"/>
    </row>
    <row r="353">
      <c r="A353" s="5" t="s">
        <v>9</v>
      </c>
      <c r="B353" s="9" t="str">
        <f>IFERROR(__xludf.DUMMYFUNCTION("""COMPUTED_VALUE"""),"楊O瑜")</f>
        <v>楊O瑜</v>
      </c>
      <c r="C353" s="9" t="str">
        <f>IFERROR(__xludf.DUMMYFUNCTION("""COMPUTED_VALUE"""),"s31*****nocsh.ntpc.edu.tw")</f>
        <v>s31*****nocsh.ntpc.edu.tw</v>
      </c>
      <c r="D353" s="9" t="str">
        <f>IFERROR(__xludf.DUMMYFUNCTION("""COMPUTED_VALUE"""),"國立華僑高級中等學校")</f>
        <v>國立華僑高級中等學校</v>
      </c>
      <c r="E353" s="9" t="str">
        <f>IFERROR(__xludf.DUMMYFUNCTION("""COMPUTED_VALUE"""),"普通科")</f>
        <v>普通科</v>
      </c>
      <c r="F353" s="9" t="str">
        <f>IFERROR(__xludf.DUMMYFUNCTION("""COMPUTED_VALUE"""),"二年級")</f>
        <v>二年級</v>
      </c>
      <c r="G353" s="10" t="str">
        <f>IFERROR(__xludf.DUMMYFUNCTION("""COMPUTED_VALUE"""),"獎狀")</f>
        <v>獎狀</v>
      </c>
      <c r="H353" s="11"/>
    </row>
    <row r="354">
      <c r="A354" s="5" t="s">
        <v>9</v>
      </c>
      <c r="B354" s="9" t="str">
        <f>IFERROR(__xludf.DUMMYFUNCTION("""COMPUTED_VALUE"""),"朱O璇")</f>
        <v>朱O璇</v>
      </c>
      <c r="C354" s="9" t="str">
        <f>IFERROR(__xludf.DUMMYFUNCTION("""COMPUTED_VALUE"""),"pud*****abbit2@gmail.com")</f>
        <v>pud*****abbit2@gmail.com</v>
      </c>
      <c r="D354" s="9" t="str">
        <f>IFERROR(__xludf.DUMMYFUNCTION("""COMPUTED_VALUE"""),"天主教光仁學校財團法人新北市光仁高級中學")</f>
        <v>天主教光仁學校財團法人新北市光仁高級中學</v>
      </c>
      <c r="E354" s="9" t="str">
        <f>IFERROR(__xludf.DUMMYFUNCTION("""COMPUTED_VALUE"""),"普通科")</f>
        <v>普通科</v>
      </c>
      <c r="F354" s="9" t="str">
        <f>IFERROR(__xludf.DUMMYFUNCTION("""COMPUTED_VALUE"""),"一年級")</f>
        <v>一年級</v>
      </c>
      <c r="G354" s="10" t="str">
        <f>IFERROR(__xludf.DUMMYFUNCTION("""COMPUTED_VALUE"""),"獎狀")</f>
        <v>獎狀</v>
      </c>
      <c r="H354" s="11" t="str">
        <f>IFERROR(__xludf.DUMMYFUNCTION("""COMPUTED_VALUE"""),"學籍資料不齊，請提供【就讀班級】")</f>
        <v>學籍資料不齊，請提供【就讀班級】</v>
      </c>
    </row>
    <row r="355">
      <c r="A355" s="5" t="s">
        <v>9</v>
      </c>
      <c r="B355" s="9" t="str">
        <f>IFERROR(__xludf.DUMMYFUNCTION("""COMPUTED_VALUE"""),"陳O丞")</f>
        <v>陳O丞</v>
      </c>
      <c r="C355" s="9" t="str">
        <f>IFERROR(__xludf.DUMMYFUNCTION("""COMPUTED_VALUE"""),"113*****@student.kjsh.ntpc.edu.tw")</f>
        <v>113*****@student.kjsh.ntpc.edu.tw</v>
      </c>
      <c r="D355" s="9" t="str">
        <f>IFERROR(__xludf.DUMMYFUNCTION("""COMPUTED_VALUE"""),"天主教光仁學校財團法人新北市光仁高級中學")</f>
        <v>天主教光仁學校財團法人新北市光仁高級中學</v>
      </c>
      <c r="E355" s="9" t="str">
        <f>IFERROR(__xludf.DUMMYFUNCTION("""COMPUTED_VALUE"""),"普通科")</f>
        <v>普通科</v>
      </c>
      <c r="F355" s="9" t="str">
        <f>IFERROR(__xludf.DUMMYFUNCTION("""COMPUTED_VALUE"""),"二年級")</f>
        <v>二年級</v>
      </c>
      <c r="G355" s="10" t="str">
        <f>IFERROR(__xludf.DUMMYFUNCTION("""COMPUTED_VALUE"""),"獎狀")</f>
        <v>獎狀</v>
      </c>
      <c r="H355" s="11"/>
    </row>
    <row r="356">
      <c r="A356" s="5" t="s">
        <v>9</v>
      </c>
      <c r="B356" s="9" t="str">
        <f>IFERROR(__xludf.DUMMYFUNCTION("""COMPUTED_VALUE"""),"游O瑀")</f>
        <v>游O瑀</v>
      </c>
      <c r="C356" s="9" t="str">
        <f>IFERROR(__xludf.DUMMYFUNCTION("""COMPUTED_VALUE"""),"113*****@student.kjsh.ntpc.edu.tw")</f>
        <v>113*****@student.kjsh.ntpc.edu.tw</v>
      </c>
      <c r="D356" s="9" t="str">
        <f>IFERROR(__xludf.DUMMYFUNCTION("""COMPUTED_VALUE"""),"天主教光仁學校財團法人新北市光仁高級中學")</f>
        <v>天主教光仁學校財團法人新北市光仁高級中學</v>
      </c>
      <c r="E356" s="9" t="str">
        <f>IFERROR(__xludf.DUMMYFUNCTION("""COMPUTED_VALUE"""),"普通科")</f>
        <v>普通科</v>
      </c>
      <c r="F356" s="9" t="str">
        <f>IFERROR(__xludf.DUMMYFUNCTION("""COMPUTED_VALUE"""),"二年級")</f>
        <v>二年級</v>
      </c>
      <c r="G356" s="10" t="str">
        <f>IFERROR(__xludf.DUMMYFUNCTION("""COMPUTED_VALUE"""),"■商品卡$200")</f>
        <v>■商品卡$200</v>
      </c>
      <c r="H356" s="11"/>
    </row>
    <row r="357">
      <c r="A357" s="5" t="s">
        <v>9</v>
      </c>
      <c r="B357" s="9" t="str">
        <f>IFERROR(__xludf.DUMMYFUNCTION("""COMPUTED_VALUE"""),"李O葦")</f>
        <v>李O葦</v>
      </c>
      <c r="C357" s="9" t="str">
        <f>IFERROR(__xludf.DUMMYFUNCTION("""COMPUTED_VALUE"""),"chu*****lee@gmail.com")</f>
        <v>chu*****lee@gmail.com</v>
      </c>
      <c r="D357" s="9" t="str">
        <f>IFERROR(__xludf.DUMMYFUNCTION("""COMPUTED_VALUE"""),"新北市立板橋高級中學")</f>
        <v>新北市立板橋高級中學</v>
      </c>
      <c r="E357" s="9" t="str">
        <f>IFERROR(__xludf.DUMMYFUNCTION("""COMPUTED_VALUE"""),"普通科")</f>
        <v>普通科</v>
      </c>
      <c r="F357" s="9" t="str">
        <f>IFERROR(__xludf.DUMMYFUNCTION("""COMPUTED_VALUE"""),"一年級")</f>
        <v>一年級</v>
      </c>
      <c r="G357" s="10" t="str">
        <f>IFERROR(__xludf.DUMMYFUNCTION("""COMPUTED_VALUE"""),"獎狀")</f>
        <v>獎狀</v>
      </c>
      <c r="H357" s="11"/>
    </row>
    <row r="358">
      <c r="A358" s="5" t="s">
        <v>9</v>
      </c>
      <c r="B358" s="9" t="str">
        <f>IFERROR(__xludf.DUMMYFUNCTION("""COMPUTED_VALUE"""),"謝O欣")</f>
        <v>謝O欣</v>
      </c>
      <c r="C358" s="9" t="str">
        <f>IFERROR(__xludf.DUMMYFUNCTION("""COMPUTED_VALUE"""),"eve*****98@msn.com")</f>
        <v>eve*****98@msn.com</v>
      </c>
      <c r="D358" s="9" t="str">
        <f>IFERROR(__xludf.DUMMYFUNCTION("""COMPUTED_VALUE"""),"新北市立板橋高級中學")</f>
        <v>新北市立板橋高級中學</v>
      </c>
      <c r="E358" s="9" t="str">
        <f>IFERROR(__xludf.DUMMYFUNCTION("""COMPUTED_VALUE"""),"普通科")</f>
        <v>普通科</v>
      </c>
      <c r="F358" s="9" t="str">
        <f>IFERROR(__xludf.DUMMYFUNCTION("""COMPUTED_VALUE"""),"二年級")</f>
        <v>二年級</v>
      </c>
      <c r="G358" s="10" t="str">
        <f>IFERROR(__xludf.DUMMYFUNCTION("""COMPUTED_VALUE"""),"獎狀")</f>
        <v>獎狀</v>
      </c>
      <c r="H358" s="9"/>
    </row>
    <row r="359">
      <c r="A359" s="5" t="s">
        <v>9</v>
      </c>
      <c r="B359" s="9" t="str">
        <f>IFERROR(__xludf.DUMMYFUNCTION("""COMPUTED_VALUE"""),"林O瑜")</f>
        <v>林O瑜</v>
      </c>
      <c r="C359" s="9" t="str">
        <f>IFERROR(__xludf.DUMMYFUNCTION("""COMPUTED_VALUE"""),"310*****ail.pcsh.ntpc.edu.tw")</f>
        <v>310*****ail.pcsh.ntpc.edu.tw</v>
      </c>
      <c r="D359" s="9" t="str">
        <f>IFERROR(__xludf.DUMMYFUNCTION("""COMPUTED_VALUE"""),"新北市立板橋高級中學")</f>
        <v>新北市立板橋高級中學</v>
      </c>
      <c r="E359" s="9" t="str">
        <f>IFERROR(__xludf.DUMMYFUNCTION("""COMPUTED_VALUE"""),"普通科")</f>
        <v>普通科</v>
      </c>
      <c r="F359" s="9" t="str">
        <f>IFERROR(__xludf.DUMMYFUNCTION("""COMPUTED_VALUE"""),"二年級")</f>
        <v>二年級</v>
      </c>
      <c r="G359" s="10" t="str">
        <f>IFERROR(__xludf.DUMMYFUNCTION("""COMPUTED_VALUE"""),"獎狀")</f>
        <v>獎狀</v>
      </c>
      <c r="H359" s="9"/>
    </row>
    <row r="360">
      <c r="A360" s="5" t="s">
        <v>9</v>
      </c>
      <c r="B360" s="9" t="str">
        <f>IFERROR(__xludf.DUMMYFUNCTION("""COMPUTED_VALUE"""),"呂O哲")</f>
        <v>呂O哲</v>
      </c>
      <c r="C360" s="9" t="str">
        <f>IFERROR(__xludf.DUMMYFUNCTION("""COMPUTED_VALUE"""),"jer*****4048@gmail.com")</f>
        <v>jer*****4048@gmail.com</v>
      </c>
      <c r="D360" s="9" t="str">
        <f>IFERROR(__xludf.DUMMYFUNCTION("""COMPUTED_VALUE"""),"新北市立板橋高級中學")</f>
        <v>新北市立板橋高級中學</v>
      </c>
      <c r="E360" s="9" t="str">
        <f>IFERROR(__xludf.DUMMYFUNCTION("""COMPUTED_VALUE"""),"普通科")</f>
        <v>普通科</v>
      </c>
      <c r="F360" s="9" t="str">
        <f>IFERROR(__xludf.DUMMYFUNCTION("""COMPUTED_VALUE"""),"三年級")</f>
        <v>三年級</v>
      </c>
      <c r="G360" s="10" t="str">
        <f>IFERROR(__xludf.DUMMYFUNCTION("""COMPUTED_VALUE"""),"獎狀")</f>
        <v>獎狀</v>
      </c>
      <c r="H360" s="9"/>
    </row>
    <row r="361">
      <c r="A361" s="5" t="s">
        <v>9</v>
      </c>
      <c r="B361" s="9" t="str">
        <f>IFERROR(__xludf.DUMMYFUNCTION("""COMPUTED_VALUE"""),"戴O璇")</f>
        <v>戴O璇</v>
      </c>
      <c r="C361" s="9" t="str">
        <f>IFERROR(__xludf.DUMMYFUNCTION("""COMPUTED_VALUE"""),"yt6*****@gmail.com")</f>
        <v>yt6*****@gmail.com</v>
      </c>
      <c r="D361" s="9" t="str">
        <f>IFERROR(__xludf.DUMMYFUNCTION("""COMPUTED_VALUE"""),"新北市立光復高級中學")</f>
        <v>新北市立光復高級中學</v>
      </c>
      <c r="E361" s="9" t="str">
        <f>IFERROR(__xludf.DUMMYFUNCTION("""COMPUTED_VALUE"""),"普通科")</f>
        <v>普通科</v>
      </c>
      <c r="F361" s="9" t="str">
        <f>IFERROR(__xludf.DUMMYFUNCTION("""COMPUTED_VALUE"""),"三年級")</f>
        <v>三年級</v>
      </c>
      <c r="G361" s="10" t="str">
        <f>IFERROR(__xludf.DUMMYFUNCTION("""COMPUTED_VALUE"""),"獎狀")</f>
        <v>獎狀</v>
      </c>
      <c r="H361" s="9"/>
    </row>
    <row r="362">
      <c r="A362" s="5" t="s">
        <v>9</v>
      </c>
      <c r="B362" s="9" t="str">
        <f>IFERROR(__xludf.DUMMYFUNCTION("""COMPUTED_VALUE"""),"陳O悅")</f>
        <v>陳O悅</v>
      </c>
      <c r="C362" s="9" t="str">
        <f>IFERROR(__xludf.DUMMYFUNCTION("""COMPUTED_VALUE"""),"hsp*****6@apps.ntpc.edu.tw")</f>
        <v>hsp*****6@apps.ntpc.edu.tw</v>
      </c>
      <c r="D362" s="9" t="str">
        <f>IFERROR(__xludf.DUMMYFUNCTION("""COMPUTED_VALUE"""),"新北市立光復高級中學")</f>
        <v>新北市立光復高級中學</v>
      </c>
      <c r="E362" s="9" t="str">
        <f>IFERROR(__xludf.DUMMYFUNCTION("""COMPUTED_VALUE"""),"普通科")</f>
        <v>普通科</v>
      </c>
      <c r="F362" s="9" t="str">
        <f>IFERROR(__xludf.DUMMYFUNCTION("""COMPUTED_VALUE"""),"三年級")</f>
        <v>三年級</v>
      </c>
      <c r="G362" s="10" t="str">
        <f>IFERROR(__xludf.DUMMYFUNCTION("""COMPUTED_VALUE"""),"獎狀")</f>
        <v>獎狀</v>
      </c>
      <c r="H362" s="9"/>
    </row>
    <row r="363">
      <c r="A363" s="5" t="s">
        <v>9</v>
      </c>
      <c r="B363" s="9" t="str">
        <f>IFERROR(__xludf.DUMMYFUNCTION("""COMPUTED_VALUE"""),"林O彤")</f>
        <v>林O彤</v>
      </c>
      <c r="C363" s="9" t="str">
        <f>IFERROR(__xludf.DUMMYFUNCTION("""COMPUTED_VALUE"""),"kfe*****14@apps.ntpc.edu.tw")</f>
        <v>kfe*****14@apps.ntpc.edu.tw</v>
      </c>
      <c r="D363" s="9" t="str">
        <f>IFERROR(__xludf.DUMMYFUNCTION("""COMPUTED_VALUE"""),"新北市立光復高級中學")</f>
        <v>新北市立光復高級中學</v>
      </c>
      <c r="E363" s="9" t="str">
        <f>IFERROR(__xludf.DUMMYFUNCTION("""COMPUTED_VALUE"""),"普通科")</f>
        <v>普通科</v>
      </c>
      <c r="F363" s="9" t="str">
        <f>IFERROR(__xludf.DUMMYFUNCTION("""COMPUTED_VALUE"""),"三年級")</f>
        <v>三年級</v>
      </c>
      <c r="G363" s="10" t="str">
        <f>IFERROR(__xludf.DUMMYFUNCTION("""COMPUTED_VALUE"""),"★商品卡$1000")</f>
        <v>★商品卡$1000</v>
      </c>
      <c r="H363" s="9"/>
    </row>
    <row r="364">
      <c r="A364" s="5" t="s">
        <v>9</v>
      </c>
      <c r="B364" s="9" t="str">
        <f>IFERROR(__xludf.DUMMYFUNCTION("""COMPUTED_VALUE"""),"連O崴")</f>
        <v>連O崴</v>
      </c>
      <c r="C364" s="9" t="str">
        <f>IFERROR(__xludf.DUMMYFUNCTION("""COMPUTED_VALUE"""),"Kor*****0829@gmail.com")</f>
        <v>Kor*****0829@gmail.com</v>
      </c>
      <c r="D364" s="9" t="str">
        <f>IFERROR(__xludf.DUMMYFUNCTION("""COMPUTED_VALUE"""),"新北市立光復高級中學")</f>
        <v>新北市立光復高級中學</v>
      </c>
      <c r="E364" s="9" t="str">
        <f>IFERROR(__xludf.DUMMYFUNCTION("""COMPUTED_VALUE"""),"普通科")</f>
        <v>普通科</v>
      </c>
      <c r="F364" s="9" t="str">
        <f>IFERROR(__xludf.DUMMYFUNCTION("""COMPUTED_VALUE"""),"三年級")</f>
        <v>三年級</v>
      </c>
      <c r="G364" s="10" t="str">
        <f>IFERROR(__xludf.DUMMYFUNCTION("""COMPUTED_VALUE"""),"獎狀")</f>
        <v>獎狀</v>
      </c>
      <c r="H364" s="9"/>
    </row>
    <row r="365">
      <c r="A365" s="5" t="s">
        <v>9</v>
      </c>
      <c r="B365" s="9" t="str">
        <f>IFERROR(__xludf.DUMMYFUNCTION("""COMPUTED_VALUE"""),"林O臻")</f>
        <v>林O臻</v>
      </c>
      <c r="C365" s="9" t="str">
        <f>IFERROR(__xludf.DUMMYFUNCTION("""COMPUTED_VALUE"""),"hp1*****7@apps.ntpc.edu.tw")</f>
        <v>hp1*****7@apps.ntpc.edu.tw</v>
      </c>
      <c r="D365" s="9" t="str">
        <f>IFERROR(__xludf.DUMMYFUNCTION("""COMPUTED_VALUE"""),"新北市立光復高級中學")</f>
        <v>新北市立光復高級中學</v>
      </c>
      <c r="E365" s="9" t="str">
        <f>IFERROR(__xludf.DUMMYFUNCTION("""COMPUTED_VALUE"""),"普通科")</f>
        <v>普通科</v>
      </c>
      <c r="F365" s="9" t="str">
        <f>IFERROR(__xludf.DUMMYFUNCTION("""COMPUTED_VALUE"""),"三年級")</f>
        <v>三年級</v>
      </c>
      <c r="G365" s="10" t="str">
        <f>IFERROR(__xludf.DUMMYFUNCTION("""COMPUTED_VALUE"""),"獎狀")</f>
        <v>獎狀</v>
      </c>
      <c r="H365" s="9"/>
    </row>
    <row r="366">
      <c r="A366" s="5" t="s">
        <v>9</v>
      </c>
      <c r="B366" s="9" t="str">
        <f>IFERROR(__xludf.DUMMYFUNCTION("""COMPUTED_VALUE"""),"陳O羽")</f>
        <v>陳O羽</v>
      </c>
      <c r="C366" s="9" t="str">
        <f>IFERROR(__xludf.DUMMYFUNCTION("""COMPUTED_VALUE"""),"yuk*****19@apps.ntpc.edu.tw")</f>
        <v>yuk*****19@apps.ntpc.edu.tw</v>
      </c>
      <c r="D366" s="9" t="str">
        <f>IFERROR(__xludf.DUMMYFUNCTION("""COMPUTED_VALUE"""),"新北市立光復高級中學")</f>
        <v>新北市立光復高級中學</v>
      </c>
      <c r="E366" s="9" t="str">
        <f>IFERROR(__xludf.DUMMYFUNCTION("""COMPUTED_VALUE"""),"普通科")</f>
        <v>普通科</v>
      </c>
      <c r="F366" s="9" t="str">
        <f>IFERROR(__xludf.DUMMYFUNCTION("""COMPUTED_VALUE"""),"三年級")</f>
        <v>三年級</v>
      </c>
      <c r="G366" s="10" t="str">
        <f>IFERROR(__xludf.DUMMYFUNCTION("""COMPUTED_VALUE"""),"獎狀")</f>
        <v>獎狀</v>
      </c>
      <c r="H366" s="9"/>
    </row>
    <row r="367">
      <c r="A367" s="5" t="s">
        <v>9</v>
      </c>
      <c r="B367" s="9" t="str">
        <f>IFERROR(__xludf.DUMMYFUNCTION("""COMPUTED_VALUE"""),"陳O潔")</f>
        <v>陳O潔</v>
      </c>
      <c r="C367" s="9" t="str">
        <f>IFERROR(__xludf.DUMMYFUNCTION("""COMPUTED_VALUE"""),"kfe*****69@apps.ntpc.edu.tw")</f>
        <v>kfe*****69@apps.ntpc.edu.tw</v>
      </c>
      <c r="D367" s="9" t="str">
        <f>IFERROR(__xludf.DUMMYFUNCTION("""COMPUTED_VALUE"""),"新北市立光復高級中學")</f>
        <v>新北市立光復高級中學</v>
      </c>
      <c r="E367" s="9" t="str">
        <f>IFERROR(__xludf.DUMMYFUNCTION("""COMPUTED_VALUE"""),"普通科")</f>
        <v>普通科</v>
      </c>
      <c r="F367" s="9" t="str">
        <f>IFERROR(__xludf.DUMMYFUNCTION("""COMPUTED_VALUE"""),"三年級")</f>
        <v>三年級</v>
      </c>
      <c r="G367" s="10" t="str">
        <f>IFERROR(__xludf.DUMMYFUNCTION("""COMPUTED_VALUE"""),"獎狀")</f>
        <v>獎狀</v>
      </c>
      <c r="H367" s="9"/>
    </row>
    <row r="368">
      <c r="A368" s="5" t="s">
        <v>9</v>
      </c>
      <c r="B368" s="9" t="str">
        <f>IFERROR(__xludf.DUMMYFUNCTION("""COMPUTED_VALUE"""),"朱O琪")</f>
        <v>朱O琪</v>
      </c>
      <c r="C368" s="9" t="str">
        <f>IFERROR(__xludf.DUMMYFUNCTION("""COMPUTED_VALUE"""),"zwq*****apps.ntpc.edu.tw")</f>
        <v>zwq*****apps.ntpc.edu.tw</v>
      </c>
      <c r="D368" s="9" t="str">
        <f>IFERROR(__xludf.DUMMYFUNCTION("""COMPUTED_VALUE"""),"新北市立光復高級中學")</f>
        <v>新北市立光復高級中學</v>
      </c>
      <c r="E368" s="9" t="str">
        <f>IFERROR(__xludf.DUMMYFUNCTION("""COMPUTED_VALUE"""),"普通科")</f>
        <v>普通科</v>
      </c>
      <c r="F368" s="9" t="str">
        <f>IFERROR(__xludf.DUMMYFUNCTION("""COMPUTED_VALUE"""),"三年級")</f>
        <v>三年級</v>
      </c>
      <c r="G368" s="10" t="str">
        <f>IFERROR(__xludf.DUMMYFUNCTION("""COMPUTED_VALUE"""),"獎狀")</f>
        <v>獎狀</v>
      </c>
      <c r="H368" s="9"/>
    </row>
    <row r="369">
      <c r="A369" s="5" t="s">
        <v>9</v>
      </c>
      <c r="B369" s="9" t="str">
        <f>IFERROR(__xludf.DUMMYFUNCTION("""COMPUTED_VALUE"""),"鄭O予")</f>
        <v>鄭O予</v>
      </c>
      <c r="C369" s="9" t="str">
        <f>IFERROR(__xludf.DUMMYFUNCTION("""COMPUTED_VALUE"""),"kfe*****93@apps.ntpc.edu.tw")</f>
        <v>kfe*****93@apps.ntpc.edu.tw</v>
      </c>
      <c r="D369" s="9" t="str">
        <f>IFERROR(__xludf.DUMMYFUNCTION("""COMPUTED_VALUE"""),"新北市立光復高級中學")</f>
        <v>新北市立光復高級中學</v>
      </c>
      <c r="E369" s="9" t="str">
        <f>IFERROR(__xludf.DUMMYFUNCTION("""COMPUTED_VALUE"""),"普通科")</f>
        <v>普通科</v>
      </c>
      <c r="F369" s="9" t="str">
        <f>IFERROR(__xludf.DUMMYFUNCTION("""COMPUTED_VALUE"""),"三年級")</f>
        <v>三年級</v>
      </c>
      <c r="G369" s="10" t="str">
        <f>IFERROR(__xludf.DUMMYFUNCTION("""COMPUTED_VALUE"""),"獎狀")</f>
        <v>獎狀</v>
      </c>
      <c r="H369" s="9"/>
    </row>
    <row r="370">
      <c r="A370" s="5" t="s">
        <v>9</v>
      </c>
      <c r="B370" s="9" t="str">
        <f>IFERROR(__xludf.DUMMYFUNCTION("""COMPUTED_VALUE"""),"林O軒")</f>
        <v>林O軒</v>
      </c>
      <c r="C370" s="9" t="str">
        <f>IFERROR(__xludf.DUMMYFUNCTION("""COMPUTED_VALUE"""),"z55*****tpc@mail.edu.tw")</f>
        <v>z55*****tpc@mail.edu.tw</v>
      </c>
      <c r="D370" s="9" t="str">
        <f>IFERROR(__xludf.DUMMYFUNCTION("""COMPUTED_VALUE"""),"新北市立海山高級中學")</f>
        <v>新北市立海山高級中學</v>
      </c>
      <c r="E370" s="9" t="str">
        <f>IFERROR(__xludf.DUMMYFUNCTION("""COMPUTED_VALUE"""),"普通科")</f>
        <v>普通科</v>
      </c>
      <c r="F370" s="9" t="str">
        <f>IFERROR(__xludf.DUMMYFUNCTION("""COMPUTED_VALUE"""),"二年級")</f>
        <v>二年級</v>
      </c>
      <c r="G370" s="10" t="str">
        <f>IFERROR(__xludf.DUMMYFUNCTION("""COMPUTED_VALUE"""),"獎狀")</f>
        <v>獎狀</v>
      </c>
      <c r="H370" s="9"/>
    </row>
    <row r="371">
      <c r="A371" s="5" t="s">
        <v>9</v>
      </c>
      <c r="B371" s="9" t="str">
        <f>IFERROR(__xludf.DUMMYFUNCTION("""COMPUTED_VALUE"""),"吳O鋒")</f>
        <v>吳O鋒</v>
      </c>
      <c r="C371" s="9" t="str">
        <f>IFERROR(__xludf.DUMMYFUNCTION("""COMPUTED_VALUE"""),"dic*****869@mail.edu.tw")</f>
        <v>dic*****869@mail.edu.tw</v>
      </c>
      <c r="D371" s="9" t="str">
        <f>IFERROR(__xludf.DUMMYFUNCTION("""COMPUTED_VALUE"""),"時雨學校財團法人新北市私立時雨高級中學")</f>
        <v>時雨學校財團法人新北市私立時雨高級中學</v>
      </c>
      <c r="E371" s="9" t="str">
        <f>IFERROR(__xludf.DUMMYFUNCTION("""COMPUTED_VALUE"""),"普通科")</f>
        <v>普通科</v>
      </c>
      <c r="F371" s="9" t="str">
        <f>IFERROR(__xludf.DUMMYFUNCTION("""COMPUTED_VALUE"""),"二年級")</f>
        <v>二年級</v>
      </c>
      <c r="G371" s="10" t="str">
        <f>IFERROR(__xludf.DUMMYFUNCTION("""COMPUTED_VALUE"""),"獎狀")</f>
        <v>獎狀</v>
      </c>
      <c r="H371" s="11"/>
    </row>
    <row r="372">
      <c r="A372" s="5" t="s">
        <v>9</v>
      </c>
      <c r="B372" s="9" t="str">
        <f>IFERROR(__xludf.DUMMYFUNCTION("""COMPUTED_VALUE"""),"韓O蕾")</f>
        <v>韓O蕾</v>
      </c>
      <c r="C372" s="9" t="str">
        <f>IFERROR(__xludf.DUMMYFUNCTION("""COMPUTED_VALUE"""),"ell*****@apps.ntpc.edu.tw")</f>
        <v>ell*****@apps.ntpc.edu.tw</v>
      </c>
      <c r="D372" s="9" t="str">
        <f>IFERROR(__xludf.DUMMYFUNCTION("""COMPUTED_VALUE"""),"新北市立新店高級中學")</f>
        <v>新北市立新店高級中學</v>
      </c>
      <c r="E372" s="9" t="str">
        <f>IFERROR(__xludf.DUMMYFUNCTION("""COMPUTED_VALUE"""),"普通科")</f>
        <v>普通科</v>
      </c>
      <c r="F372" s="9" t="str">
        <f>IFERROR(__xludf.DUMMYFUNCTION("""COMPUTED_VALUE"""),"二年級")</f>
        <v>二年級</v>
      </c>
      <c r="G372" s="10" t="str">
        <f>IFERROR(__xludf.DUMMYFUNCTION("""COMPUTED_VALUE"""),"獎狀")</f>
        <v>獎狀</v>
      </c>
      <c r="H372" s="11"/>
    </row>
    <row r="373">
      <c r="A373" s="5" t="s">
        <v>9</v>
      </c>
      <c r="B373" s="9" t="str">
        <f>IFERROR(__xludf.DUMMYFUNCTION("""COMPUTED_VALUE"""),"黃O昕")</f>
        <v>黃O昕</v>
      </c>
      <c r="C373" s="9" t="str">
        <f>IFERROR(__xludf.DUMMYFUNCTION("""COMPUTED_VALUE"""),"a09*****110@gmail.com")</f>
        <v>a09*****110@gmail.com</v>
      </c>
      <c r="D373" s="9" t="str">
        <f>IFERROR(__xludf.DUMMYFUNCTION("""COMPUTED_VALUE"""),"新北市立新店高級中學")</f>
        <v>新北市立新店高級中學</v>
      </c>
      <c r="E373" s="9" t="str">
        <f>IFERROR(__xludf.DUMMYFUNCTION("""COMPUTED_VALUE"""),"普通科")</f>
        <v>普通科</v>
      </c>
      <c r="F373" s="9" t="str">
        <f>IFERROR(__xludf.DUMMYFUNCTION("""COMPUTED_VALUE"""),"二年級")</f>
        <v>二年級</v>
      </c>
      <c r="G373" s="10" t="str">
        <f>IFERROR(__xludf.DUMMYFUNCTION("""COMPUTED_VALUE"""),"獎狀")</f>
        <v>獎狀</v>
      </c>
      <c r="H373" s="11"/>
    </row>
    <row r="374">
      <c r="A374" s="5" t="s">
        <v>9</v>
      </c>
      <c r="B374" s="9" t="str">
        <f>IFERROR(__xludf.DUMMYFUNCTION("""COMPUTED_VALUE"""),"呂O宇")</f>
        <v>呂O宇</v>
      </c>
      <c r="C374" s="9" t="str">
        <f>IFERROR(__xludf.DUMMYFUNCTION("""COMPUTED_VALUE"""),"ben*****0101.ntpc@mail.edu.tw")</f>
        <v>ben*****0101.ntpc@mail.edu.tw</v>
      </c>
      <c r="D374" s="9" t="str">
        <f>IFERROR(__xludf.DUMMYFUNCTION("""COMPUTED_VALUE"""),"新北市立永平高級中學")</f>
        <v>新北市立永平高級中學</v>
      </c>
      <c r="E374" s="9" t="str">
        <f>IFERROR(__xludf.DUMMYFUNCTION("""COMPUTED_VALUE"""),"普通科")</f>
        <v>普通科</v>
      </c>
      <c r="F374" s="9" t="str">
        <f>IFERROR(__xludf.DUMMYFUNCTION("""COMPUTED_VALUE"""),"二年級")</f>
        <v>二年級</v>
      </c>
      <c r="G374" s="10" t="str">
        <f>IFERROR(__xludf.DUMMYFUNCTION("""COMPUTED_VALUE"""),"獎狀")</f>
        <v>獎狀</v>
      </c>
      <c r="H374" s="9"/>
    </row>
    <row r="375">
      <c r="A375" s="5" t="s">
        <v>9</v>
      </c>
      <c r="B375" s="9" t="str">
        <f>IFERROR(__xludf.DUMMYFUNCTION("""COMPUTED_VALUE"""),"吳O眞")</f>
        <v>吳O眞</v>
      </c>
      <c r="C375" s="9" t="str">
        <f>IFERROR(__xludf.DUMMYFUNCTION("""COMPUTED_VALUE"""),"nik*****.ntpc@mail.edu.tw")</f>
        <v>nik*****.ntpc@mail.edu.tw</v>
      </c>
      <c r="D375" s="9" t="str">
        <f>IFERROR(__xludf.DUMMYFUNCTION("""COMPUTED_VALUE"""),"新北市立永平高級中學")</f>
        <v>新北市立永平高級中學</v>
      </c>
      <c r="E375" s="9" t="str">
        <f>IFERROR(__xludf.DUMMYFUNCTION("""COMPUTED_VALUE"""),"普通科")</f>
        <v>普通科</v>
      </c>
      <c r="F375" s="9" t="str">
        <f>IFERROR(__xludf.DUMMYFUNCTION("""COMPUTED_VALUE"""),"二年級")</f>
        <v>二年級</v>
      </c>
      <c r="G375" s="10" t="str">
        <f>IFERROR(__xludf.DUMMYFUNCTION("""COMPUTED_VALUE"""),"獎狀")</f>
        <v>獎狀</v>
      </c>
      <c r="H375" s="9"/>
    </row>
    <row r="376">
      <c r="A376" s="5" t="s">
        <v>9</v>
      </c>
      <c r="B376" s="9" t="str">
        <f>IFERROR(__xludf.DUMMYFUNCTION("""COMPUTED_VALUE"""),"林O蓉")</f>
        <v>林O蓉</v>
      </c>
      <c r="C376" s="9" t="str">
        <f>IFERROR(__xludf.DUMMYFUNCTION("""COMPUTED_VALUE"""),"lau*****1318.ntpc@mail.edu.tw")</f>
        <v>lau*****1318.ntpc@mail.edu.tw</v>
      </c>
      <c r="D376" s="9" t="str">
        <f>IFERROR(__xludf.DUMMYFUNCTION("""COMPUTED_VALUE"""),"新北市立永平高級中學")</f>
        <v>新北市立永平高級中學</v>
      </c>
      <c r="E376" s="9" t="str">
        <f>IFERROR(__xludf.DUMMYFUNCTION("""COMPUTED_VALUE"""),"普通科")</f>
        <v>普通科</v>
      </c>
      <c r="F376" s="9" t="str">
        <f>IFERROR(__xludf.DUMMYFUNCTION("""COMPUTED_VALUE"""),"二年級")</f>
        <v>二年級</v>
      </c>
      <c r="G376" s="10" t="str">
        <f>IFERROR(__xludf.DUMMYFUNCTION("""COMPUTED_VALUE"""),"■商品卡$200")</f>
        <v>■商品卡$200</v>
      </c>
      <c r="H376" s="9"/>
    </row>
    <row r="377">
      <c r="A377" s="5" t="s">
        <v>9</v>
      </c>
      <c r="B377" s="9" t="str">
        <f>IFERROR(__xludf.DUMMYFUNCTION("""COMPUTED_VALUE"""),"杜O珊")</f>
        <v>杜O珊</v>
      </c>
      <c r="C377" s="9" t="str">
        <f>IFERROR(__xludf.DUMMYFUNCTION("""COMPUTED_VALUE"""),"s04*****apps.ntpc.edu.tw")</f>
        <v>s04*****apps.ntpc.edu.tw</v>
      </c>
      <c r="D377" s="9" t="str">
        <f>IFERROR(__xludf.DUMMYFUNCTION("""COMPUTED_VALUE"""),"新北市立永平高級中學")</f>
        <v>新北市立永平高級中學</v>
      </c>
      <c r="E377" s="9" t="str">
        <f>IFERROR(__xludf.DUMMYFUNCTION("""COMPUTED_VALUE"""),"普通科")</f>
        <v>普通科</v>
      </c>
      <c r="F377" s="9" t="str">
        <f>IFERROR(__xludf.DUMMYFUNCTION("""COMPUTED_VALUE"""),"二年級")</f>
        <v>二年級</v>
      </c>
      <c r="G377" s="10" t="str">
        <f>IFERROR(__xludf.DUMMYFUNCTION("""COMPUTED_VALUE"""),"獎狀")</f>
        <v>獎狀</v>
      </c>
      <c r="H377" s="9"/>
    </row>
    <row r="378">
      <c r="A378" s="5" t="s">
        <v>9</v>
      </c>
      <c r="B378" s="9" t="str">
        <f>IFERROR(__xludf.DUMMYFUNCTION("""COMPUTED_VALUE"""),"曹O婷")</f>
        <v>曹O婷</v>
      </c>
      <c r="C378" s="9" t="str">
        <f>IFERROR(__xludf.DUMMYFUNCTION("""COMPUTED_VALUE"""),"ntp*****7.ntpc@mail.edu.tw")</f>
        <v>ntp*****7.ntpc@mail.edu.tw</v>
      </c>
      <c r="D378" s="9" t="str">
        <f>IFERROR(__xludf.DUMMYFUNCTION("""COMPUTED_VALUE"""),"新北市立永平高級中學")</f>
        <v>新北市立永平高級中學</v>
      </c>
      <c r="E378" s="9" t="str">
        <f>IFERROR(__xludf.DUMMYFUNCTION("""COMPUTED_VALUE"""),"普通科")</f>
        <v>普通科</v>
      </c>
      <c r="F378" s="9" t="str">
        <f>IFERROR(__xludf.DUMMYFUNCTION("""COMPUTED_VALUE"""),"二年級")</f>
        <v>二年級</v>
      </c>
      <c r="G378" s="10" t="str">
        <f>IFERROR(__xludf.DUMMYFUNCTION("""COMPUTED_VALUE"""),"★商品卡$1000")</f>
        <v>★商品卡$1000</v>
      </c>
      <c r="H378" s="9"/>
    </row>
    <row r="379">
      <c r="A379" s="5" t="s">
        <v>9</v>
      </c>
      <c r="B379" s="9" t="str">
        <f>IFERROR(__xludf.DUMMYFUNCTION("""COMPUTED_VALUE"""),"于O雨")</f>
        <v>于O雨</v>
      </c>
      <c r="C379" s="9" t="str">
        <f>IFERROR(__xludf.DUMMYFUNCTION("""COMPUTED_VALUE"""),"yu9*****@apps.ntpc.edu.tw")</f>
        <v>yu9*****@apps.ntpc.edu.tw</v>
      </c>
      <c r="D379" s="9" t="str">
        <f>IFERROR(__xludf.DUMMYFUNCTION("""COMPUTED_VALUE"""),"新北市立永平高級中學")</f>
        <v>新北市立永平高級中學</v>
      </c>
      <c r="E379" s="9" t="str">
        <f>IFERROR(__xludf.DUMMYFUNCTION("""COMPUTED_VALUE"""),"普通科")</f>
        <v>普通科</v>
      </c>
      <c r="F379" s="9" t="str">
        <f>IFERROR(__xludf.DUMMYFUNCTION("""COMPUTED_VALUE"""),"二年級")</f>
        <v>二年級</v>
      </c>
      <c r="G379" s="10" t="str">
        <f>IFERROR(__xludf.DUMMYFUNCTION("""COMPUTED_VALUE"""),"■商品卡$200")</f>
        <v>■商品卡$200</v>
      </c>
      <c r="H379" s="9"/>
    </row>
    <row r="380">
      <c r="A380" s="5" t="s">
        <v>9</v>
      </c>
      <c r="B380" s="9" t="str">
        <f>IFERROR(__xludf.DUMMYFUNCTION("""COMPUTED_VALUE"""),"李O寧")</f>
        <v>李O寧</v>
      </c>
      <c r="C380" s="9" t="str">
        <f>IFERROR(__xludf.DUMMYFUNCTION("""COMPUTED_VALUE"""),"stu*****.ntpc@mail.edu.tw")</f>
        <v>stu*****.ntpc@mail.edu.tw</v>
      </c>
      <c r="D380" s="9" t="str">
        <f>IFERROR(__xludf.DUMMYFUNCTION("""COMPUTED_VALUE"""),"新北市立永平高級中學")</f>
        <v>新北市立永平高級中學</v>
      </c>
      <c r="E380" s="9" t="str">
        <f>IFERROR(__xludf.DUMMYFUNCTION("""COMPUTED_VALUE"""),"普通科")</f>
        <v>普通科</v>
      </c>
      <c r="F380" s="9" t="str">
        <f>IFERROR(__xludf.DUMMYFUNCTION("""COMPUTED_VALUE"""),"二年級")</f>
        <v>二年級</v>
      </c>
      <c r="G380" s="10" t="str">
        <f>IFERROR(__xludf.DUMMYFUNCTION("""COMPUTED_VALUE"""),"獎狀")</f>
        <v>獎狀</v>
      </c>
      <c r="H380" s="9"/>
    </row>
    <row r="381">
      <c r="A381" s="5" t="s">
        <v>9</v>
      </c>
      <c r="B381" s="9" t="str">
        <f>IFERROR(__xludf.DUMMYFUNCTION("""COMPUTED_VALUE"""),"陳O叡")</f>
        <v>陳O叡</v>
      </c>
      <c r="C381" s="9" t="str">
        <f>IFERROR(__xludf.DUMMYFUNCTION("""COMPUTED_VALUE"""),"cs1*****.ntpc@mail.edu.tw")</f>
        <v>cs1*****.ntpc@mail.edu.tw</v>
      </c>
      <c r="D381" s="9" t="str">
        <f>IFERROR(__xludf.DUMMYFUNCTION("""COMPUTED_VALUE"""),"新北市立永平高級中學")</f>
        <v>新北市立永平高級中學</v>
      </c>
      <c r="E381" s="9" t="str">
        <f>IFERROR(__xludf.DUMMYFUNCTION("""COMPUTED_VALUE"""),"普通科")</f>
        <v>普通科</v>
      </c>
      <c r="F381" s="9" t="str">
        <f>IFERROR(__xludf.DUMMYFUNCTION("""COMPUTED_VALUE"""),"二年級")</f>
        <v>二年級</v>
      </c>
      <c r="G381" s="10" t="str">
        <f>IFERROR(__xludf.DUMMYFUNCTION("""COMPUTED_VALUE"""),"獎狀")</f>
        <v>獎狀</v>
      </c>
      <c r="H381" s="9"/>
    </row>
    <row r="382">
      <c r="A382" s="5" t="s">
        <v>9</v>
      </c>
      <c r="B382" s="9" t="str">
        <f>IFERROR(__xludf.DUMMYFUNCTION("""COMPUTED_VALUE"""),"陳O璇")</f>
        <v>陳O璇</v>
      </c>
      <c r="C382" s="9" t="str">
        <f>IFERROR(__xludf.DUMMYFUNCTION("""COMPUTED_VALUE"""),"cke*****19@apps.ntpc.edu.tw")</f>
        <v>cke*****19@apps.ntpc.edu.tw</v>
      </c>
      <c r="D382" s="9" t="str">
        <f>IFERROR(__xludf.DUMMYFUNCTION("""COMPUTED_VALUE"""),"新北市立永平高級中學")</f>
        <v>新北市立永平高級中學</v>
      </c>
      <c r="E382" s="9" t="str">
        <f>IFERROR(__xludf.DUMMYFUNCTION("""COMPUTED_VALUE"""),"普通科")</f>
        <v>普通科</v>
      </c>
      <c r="F382" s="9" t="str">
        <f>IFERROR(__xludf.DUMMYFUNCTION("""COMPUTED_VALUE"""),"二年級")</f>
        <v>二年級</v>
      </c>
      <c r="G382" s="10" t="str">
        <f>IFERROR(__xludf.DUMMYFUNCTION("""COMPUTED_VALUE"""),"獎狀")</f>
        <v>獎狀</v>
      </c>
      <c r="H382" s="9"/>
    </row>
    <row r="383">
      <c r="A383" s="5" t="s">
        <v>9</v>
      </c>
      <c r="B383" s="9" t="str">
        <f>IFERROR(__xludf.DUMMYFUNCTION("""COMPUTED_VALUE"""),"徐O晴")</f>
        <v>徐O晴</v>
      </c>
      <c r="C383" s="9" t="str">
        <f>IFERROR(__xludf.DUMMYFUNCTION("""COMPUTED_VALUE"""),"s10*****3@apps.ntpc.edu.tw")</f>
        <v>s10*****3@apps.ntpc.edu.tw</v>
      </c>
      <c r="D383" s="9" t="str">
        <f>IFERROR(__xludf.DUMMYFUNCTION("""COMPUTED_VALUE"""),"新北市立永平高級中學")</f>
        <v>新北市立永平高級中學</v>
      </c>
      <c r="E383" s="9" t="str">
        <f>IFERROR(__xludf.DUMMYFUNCTION("""COMPUTED_VALUE"""),"普通科")</f>
        <v>普通科</v>
      </c>
      <c r="F383" s="9" t="str">
        <f>IFERROR(__xludf.DUMMYFUNCTION("""COMPUTED_VALUE"""),"二年級")</f>
        <v>二年級</v>
      </c>
      <c r="G383" s="10" t="str">
        <f>IFERROR(__xludf.DUMMYFUNCTION("""COMPUTED_VALUE"""),"★商品卡$1000")</f>
        <v>★商品卡$1000</v>
      </c>
      <c r="H383" s="9"/>
    </row>
    <row r="384">
      <c r="A384" s="5" t="s">
        <v>9</v>
      </c>
      <c r="B384" s="9" t="str">
        <f>IFERROR(__xludf.DUMMYFUNCTION("""COMPUTED_VALUE"""),"梁O欣")</f>
        <v>梁O欣</v>
      </c>
      <c r="C384" s="9" t="str">
        <f>IFERROR(__xludf.DUMMYFUNCTION("""COMPUTED_VALUE"""),"jh1*****25@apps.ntpc.edu.tw")</f>
        <v>jh1*****25@apps.ntpc.edu.tw</v>
      </c>
      <c r="D384" s="9" t="str">
        <f>IFERROR(__xludf.DUMMYFUNCTION("""COMPUTED_VALUE"""),"新北市立永平高級中學")</f>
        <v>新北市立永平高級中學</v>
      </c>
      <c r="E384" s="9" t="str">
        <f>IFERROR(__xludf.DUMMYFUNCTION("""COMPUTED_VALUE"""),"普通科")</f>
        <v>普通科</v>
      </c>
      <c r="F384" s="9" t="str">
        <f>IFERROR(__xludf.DUMMYFUNCTION("""COMPUTED_VALUE"""),"二年級")</f>
        <v>二年級</v>
      </c>
      <c r="G384" s="10" t="str">
        <f>IFERROR(__xludf.DUMMYFUNCTION("""COMPUTED_VALUE"""),"獎狀")</f>
        <v>獎狀</v>
      </c>
      <c r="H384" s="9"/>
    </row>
    <row r="385">
      <c r="A385" s="5" t="s">
        <v>9</v>
      </c>
      <c r="B385" s="9" t="str">
        <f>IFERROR(__xludf.DUMMYFUNCTION("""COMPUTED_VALUE"""),"陳O潔")</f>
        <v>陳O潔</v>
      </c>
      <c r="C385" s="9" t="str">
        <f>IFERROR(__xludf.DUMMYFUNCTION("""COMPUTED_VALUE"""),"ccs*****26@apps.ntpc.edu.tw")</f>
        <v>ccs*****26@apps.ntpc.edu.tw</v>
      </c>
      <c r="D385" s="9" t="str">
        <f>IFERROR(__xludf.DUMMYFUNCTION("""COMPUTED_VALUE"""),"新北市立永平高級中學")</f>
        <v>新北市立永平高級中學</v>
      </c>
      <c r="E385" s="9" t="str">
        <f>IFERROR(__xludf.DUMMYFUNCTION("""COMPUTED_VALUE"""),"普通科")</f>
        <v>普通科</v>
      </c>
      <c r="F385" s="9" t="str">
        <f>IFERROR(__xludf.DUMMYFUNCTION("""COMPUTED_VALUE"""),"二年級")</f>
        <v>二年級</v>
      </c>
      <c r="G385" s="10" t="str">
        <f>IFERROR(__xludf.DUMMYFUNCTION("""COMPUTED_VALUE"""),"獎狀")</f>
        <v>獎狀</v>
      </c>
      <c r="H385" s="9"/>
    </row>
    <row r="386">
      <c r="A386" s="5" t="s">
        <v>9</v>
      </c>
      <c r="B386" s="9" t="str">
        <f>IFERROR(__xludf.DUMMYFUNCTION("""COMPUTED_VALUE"""),"邱O恩")</f>
        <v>邱O恩</v>
      </c>
      <c r="C386" s="9" t="str">
        <f>IFERROR(__xludf.DUMMYFUNCTION("""COMPUTED_VALUE"""),"wei*****n741031@apps.ntpc.edu.tw")</f>
        <v>wei*****n741031@apps.ntpc.edu.tw</v>
      </c>
      <c r="D386" s="9" t="str">
        <f>IFERROR(__xludf.DUMMYFUNCTION("""COMPUTED_VALUE"""),"新北市立永平高級中學")</f>
        <v>新北市立永平高級中學</v>
      </c>
      <c r="E386" s="9" t="str">
        <f>IFERROR(__xludf.DUMMYFUNCTION("""COMPUTED_VALUE"""),"普通科")</f>
        <v>普通科</v>
      </c>
      <c r="F386" s="9" t="str">
        <f>IFERROR(__xludf.DUMMYFUNCTION("""COMPUTED_VALUE"""),"二年級")</f>
        <v>二年級</v>
      </c>
      <c r="G386" s="10" t="str">
        <f>IFERROR(__xludf.DUMMYFUNCTION("""COMPUTED_VALUE"""),"獎狀")</f>
        <v>獎狀</v>
      </c>
      <c r="H386" s="9"/>
    </row>
    <row r="387">
      <c r="A387" s="5" t="s">
        <v>9</v>
      </c>
      <c r="B387" s="9" t="str">
        <f>IFERROR(__xludf.DUMMYFUNCTION("""COMPUTED_VALUE"""),"郭O綺")</f>
        <v>郭O綺</v>
      </c>
      <c r="C387" s="9" t="str">
        <f>IFERROR(__xludf.DUMMYFUNCTION("""COMPUTED_VALUE"""),"s31*****apps.ntpc.edu.tw")</f>
        <v>s31*****apps.ntpc.edu.tw</v>
      </c>
      <c r="D387" s="9" t="str">
        <f>IFERROR(__xludf.DUMMYFUNCTION("""COMPUTED_VALUE"""),"新北市立永平高級中學")</f>
        <v>新北市立永平高級中學</v>
      </c>
      <c r="E387" s="9" t="str">
        <f>IFERROR(__xludf.DUMMYFUNCTION("""COMPUTED_VALUE"""),"普通科")</f>
        <v>普通科</v>
      </c>
      <c r="F387" s="9" t="str">
        <f>IFERROR(__xludf.DUMMYFUNCTION("""COMPUTED_VALUE"""),"二年級")</f>
        <v>二年級</v>
      </c>
      <c r="G387" s="10" t="str">
        <f>IFERROR(__xludf.DUMMYFUNCTION("""COMPUTED_VALUE"""),"獎狀")</f>
        <v>獎狀</v>
      </c>
      <c r="H387" s="9"/>
    </row>
    <row r="388">
      <c r="A388" s="5" t="s">
        <v>9</v>
      </c>
      <c r="B388" s="9" t="str">
        <f>IFERROR(__xludf.DUMMYFUNCTION("""COMPUTED_VALUE"""),"陳O穎")</f>
        <v>陳O穎</v>
      </c>
      <c r="C388" s="9" t="str">
        <f>IFERROR(__xludf.DUMMYFUNCTION("""COMPUTED_VALUE"""),"ama*****27@apps.ntpc.edu.tw")</f>
        <v>ama*****27@apps.ntpc.edu.tw</v>
      </c>
      <c r="D388" s="9" t="str">
        <f>IFERROR(__xludf.DUMMYFUNCTION("""COMPUTED_VALUE"""),"新北市立永平高級中學")</f>
        <v>新北市立永平高級中學</v>
      </c>
      <c r="E388" s="9" t="str">
        <f>IFERROR(__xludf.DUMMYFUNCTION("""COMPUTED_VALUE"""),"普通科")</f>
        <v>普通科</v>
      </c>
      <c r="F388" s="9" t="str">
        <f>IFERROR(__xludf.DUMMYFUNCTION("""COMPUTED_VALUE"""),"二年級")</f>
        <v>二年級</v>
      </c>
      <c r="G388" s="10" t="str">
        <f>IFERROR(__xludf.DUMMYFUNCTION("""COMPUTED_VALUE"""),"獎狀")</f>
        <v>獎狀</v>
      </c>
      <c r="H388" s="9"/>
    </row>
    <row r="389">
      <c r="A389" s="5" t="s">
        <v>9</v>
      </c>
      <c r="B389" s="9" t="str">
        <f>IFERROR(__xludf.DUMMYFUNCTION("""COMPUTED_VALUE"""),"曾O維")</f>
        <v>曾O維</v>
      </c>
      <c r="C389" s="9" t="str">
        <f>IFERROR(__xludf.DUMMYFUNCTION("""COMPUTED_VALUE"""),"shi*****ng8@gmail.com")</f>
        <v>shi*****ng8@gmail.com</v>
      </c>
      <c r="D389" s="9" t="str">
        <f>IFERROR(__xludf.DUMMYFUNCTION("""COMPUTED_VALUE"""),"新北市立永平高級中學")</f>
        <v>新北市立永平高級中學</v>
      </c>
      <c r="E389" s="9" t="str">
        <f>IFERROR(__xludf.DUMMYFUNCTION("""COMPUTED_VALUE"""),"普通科")</f>
        <v>普通科</v>
      </c>
      <c r="F389" s="9" t="str">
        <f>IFERROR(__xludf.DUMMYFUNCTION("""COMPUTED_VALUE"""),"二年級")</f>
        <v>二年級</v>
      </c>
      <c r="G389" s="10" t="str">
        <f>IFERROR(__xludf.DUMMYFUNCTION("""COMPUTED_VALUE"""),"獎狀")</f>
        <v>獎狀</v>
      </c>
      <c r="H389" s="9"/>
    </row>
    <row r="390">
      <c r="A390" s="5" t="s">
        <v>9</v>
      </c>
      <c r="B390" s="9" t="str">
        <f>IFERROR(__xludf.DUMMYFUNCTION("""COMPUTED_VALUE"""),"張O瑋")</f>
        <v>張O瑋</v>
      </c>
      <c r="C390" s="9" t="str">
        <f>IFERROR(__xludf.DUMMYFUNCTION("""COMPUTED_VALUE"""),"wil*****@apps.ntpc.edu.tw")</f>
        <v>wil*****@apps.ntpc.edu.tw</v>
      </c>
      <c r="D390" s="9" t="str">
        <f>IFERROR(__xludf.DUMMYFUNCTION("""COMPUTED_VALUE"""),"新北市立永平高級中學")</f>
        <v>新北市立永平高級中學</v>
      </c>
      <c r="E390" s="9" t="str">
        <f>IFERROR(__xludf.DUMMYFUNCTION("""COMPUTED_VALUE"""),"普通科")</f>
        <v>普通科</v>
      </c>
      <c r="F390" s="9" t="str">
        <f>IFERROR(__xludf.DUMMYFUNCTION("""COMPUTED_VALUE"""),"二年級")</f>
        <v>二年級</v>
      </c>
      <c r="G390" s="10" t="str">
        <f>IFERROR(__xludf.DUMMYFUNCTION("""COMPUTED_VALUE"""),"★商品卡$1000")</f>
        <v>★商品卡$1000</v>
      </c>
      <c r="H390" s="9"/>
    </row>
    <row r="391">
      <c r="A391" s="5" t="s">
        <v>9</v>
      </c>
      <c r="B391" s="9" t="str">
        <f>IFERROR(__xludf.DUMMYFUNCTION("""COMPUTED_VALUE"""),"王O中")</f>
        <v>王O中</v>
      </c>
      <c r="C391" s="9" t="str">
        <f>IFERROR(__xludf.DUMMYFUNCTION("""COMPUTED_VALUE"""),"dan*****30@apps.ntpc.edu.tw")</f>
        <v>dan*****30@apps.ntpc.edu.tw</v>
      </c>
      <c r="D391" s="9" t="str">
        <f>IFERROR(__xludf.DUMMYFUNCTION("""COMPUTED_VALUE"""),"新北市立永平高級中學")</f>
        <v>新北市立永平高級中學</v>
      </c>
      <c r="E391" s="9" t="str">
        <f>IFERROR(__xludf.DUMMYFUNCTION("""COMPUTED_VALUE"""),"普通科")</f>
        <v>普通科</v>
      </c>
      <c r="F391" s="9" t="str">
        <f>IFERROR(__xludf.DUMMYFUNCTION("""COMPUTED_VALUE"""),"二年級")</f>
        <v>二年級</v>
      </c>
      <c r="G391" s="10" t="str">
        <f>IFERROR(__xludf.DUMMYFUNCTION("""COMPUTED_VALUE"""),"獎狀")</f>
        <v>獎狀</v>
      </c>
      <c r="H391" s="9"/>
    </row>
    <row r="392">
      <c r="A392" s="5" t="s">
        <v>9</v>
      </c>
      <c r="B392" s="9" t="str">
        <f>IFERROR(__xludf.DUMMYFUNCTION("""COMPUTED_VALUE"""),"張O玹")</f>
        <v>張O玹</v>
      </c>
      <c r="C392" s="9" t="str">
        <f>IFERROR(__xludf.DUMMYFUNCTION("""COMPUTED_VALUE"""),"min*****11@apps.ntpc.edu.tw")</f>
        <v>min*****11@apps.ntpc.edu.tw</v>
      </c>
      <c r="D392" s="9" t="str">
        <f>IFERROR(__xludf.DUMMYFUNCTION("""COMPUTED_VALUE"""),"新北市立永平高級中學")</f>
        <v>新北市立永平高級中學</v>
      </c>
      <c r="E392" s="9" t="str">
        <f>IFERROR(__xludf.DUMMYFUNCTION("""COMPUTED_VALUE"""),"普通科")</f>
        <v>普通科</v>
      </c>
      <c r="F392" s="9" t="str">
        <f>IFERROR(__xludf.DUMMYFUNCTION("""COMPUTED_VALUE"""),"二年級")</f>
        <v>二年級</v>
      </c>
      <c r="G392" s="10" t="str">
        <f>IFERROR(__xludf.DUMMYFUNCTION("""COMPUTED_VALUE"""),"獎狀")</f>
        <v>獎狀</v>
      </c>
      <c r="H392" s="9"/>
    </row>
    <row r="393">
      <c r="A393" s="5" t="s">
        <v>9</v>
      </c>
      <c r="B393" s="9" t="str">
        <f>IFERROR(__xludf.DUMMYFUNCTION("""COMPUTED_VALUE"""),"黃O茜")</f>
        <v>黃O茜</v>
      </c>
      <c r="C393" s="9" t="str">
        <f>IFERROR(__xludf.DUMMYFUNCTION("""COMPUTED_VALUE"""),"san*****407@apps.ntpc.edu.tw")</f>
        <v>san*****407@apps.ntpc.edu.tw</v>
      </c>
      <c r="D393" s="9" t="str">
        <f>IFERROR(__xludf.DUMMYFUNCTION("""COMPUTED_VALUE"""),"新北市立永平高級中學")</f>
        <v>新北市立永平高級中學</v>
      </c>
      <c r="E393" s="9" t="str">
        <f>IFERROR(__xludf.DUMMYFUNCTION("""COMPUTED_VALUE"""),"普通科")</f>
        <v>普通科</v>
      </c>
      <c r="F393" s="9" t="str">
        <f>IFERROR(__xludf.DUMMYFUNCTION("""COMPUTED_VALUE"""),"二年級")</f>
        <v>二年級</v>
      </c>
      <c r="G393" s="10" t="str">
        <f>IFERROR(__xludf.DUMMYFUNCTION("""COMPUTED_VALUE"""),"獎狀")</f>
        <v>獎狀</v>
      </c>
      <c r="H393" s="9"/>
    </row>
    <row r="394">
      <c r="A394" s="5" t="s">
        <v>9</v>
      </c>
      <c r="B394" s="9" t="str">
        <f>IFERROR(__xludf.DUMMYFUNCTION("""COMPUTED_VALUE"""),"李O彤")</f>
        <v>李O彤</v>
      </c>
      <c r="C394" s="9" t="str">
        <f>IFERROR(__xludf.DUMMYFUNCTION("""COMPUTED_VALUE"""),"ntp*****3@apps.ntpc.edu.tw")</f>
        <v>ntp*****3@apps.ntpc.edu.tw</v>
      </c>
      <c r="D394" s="9" t="str">
        <f>IFERROR(__xludf.DUMMYFUNCTION("""COMPUTED_VALUE"""),"新北市立永平高級中學")</f>
        <v>新北市立永平高級中學</v>
      </c>
      <c r="E394" s="9" t="str">
        <f>IFERROR(__xludf.DUMMYFUNCTION("""COMPUTED_VALUE"""),"普通科")</f>
        <v>普通科</v>
      </c>
      <c r="F394" s="9" t="str">
        <f>IFERROR(__xludf.DUMMYFUNCTION("""COMPUTED_VALUE"""),"二年級")</f>
        <v>二年級</v>
      </c>
      <c r="G394" s="10" t="str">
        <f>IFERROR(__xludf.DUMMYFUNCTION("""COMPUTED_VALUE"""),"獎狀")</f>
        <v>獎狀</v>
      </c>
      <c r="H394" s="9"/>
    </row>
    <row r="395">
      <c r="A395" s="5" t="s">
        <v>9</v>
      </c>
      <c r="B395" s="9" t="str">
        <f>IFERROR(__xludf.DUMMYFUNCTION("""COMPUTED_VALUE"""),"瞿O緹")</f>
        <v>瞿O緹</v>
      </c>
      <c r="C395" s="9" t="str">
        <f>IFERROR(__xludf.DUMMYFUNCTION("""COMPUTED_VALUE"""),"cj1*****@apps.ntpc.edu.tw")</f>
        <v>cj1*****@apps.ntpc.edu.tw</v>
      </c>
      <c r="D395" s="9" t="str">
        <f>IFERROR(__xludf.DUMMYFUNCTION("""COMPUTED_VALUE"""),"新北市立永平高級中學")</f>
        <v>新北市立永平高級中學</v>
      </c>
      <c r="E395" s="9" t="str">
        <f>IFERROR(__xludf.DUMMYFUNCTION("""COMPUTED_VALUE"""),"普通科")</f>
        <v>普通科</v>
      </c>
      <c r="F395" s="9" t="str">
        <f>IFERROR(__xludf.DUMMYFUNCTION("""COMPUTED_VALUE"""),"二年級")</f>
        <v>二年級</v>
      </c>
      <c r="G395" s="10" t="str">
        <f>IFERROR(__xludf.DUMMYFUNCTION("""COMPUTED_VALUE"""),"獎狀")</f>
        <v>獎狀</v>
      </c>
      <c r="H395" s="9"/>
    </row>
    <row r="396">
      <c r="A396" s="5" t="s">
        <v>9</v>
      </c>
      <c r="B396" s="9" t="str">
        <f>IFERROR(__xludf.DUMMYFUNCTION("""COMPUTED_VALUE"""),"莊O芸")</f>
        <v>莊O芸</v>
      </c>
      <c r="C396" s="9" t="str">
        <f>IFERROR(__xludf.DUMMYFUNCTION("""COMPUTED_VALUE"""),"flo*****@gmail.com")</f>
        <v>flo*****@gmail.com</v>
      </c>
      <c r="D396" s="9" t="str">
        <f>IFERROR(__xludf.DUMMYFUNCTION("""COMPUTED_VALUE"""),"新北市高級中等教育階段非學校型態實驗教育學生")</f>
        <v>新北市高級中等教育階段非學校型態實驗教育學生</v>
      </c>
      <c r="E396" s="9" t="str">
        <f>IFERROR(__xludf.DUMMYFUNCTION("""COMPUTED_VALUE"""),"自學生")</f>
        <v>自學生</v>
      </c>
      <c r="F396" s="9" t="str">
        <f>IFERROR(__xludf.DUMMYFUNCTION("""COMPUTED_VALUE"""),"二年級")</f>
        <v>二年級</v>
      </c>
      <c r="G396" s="10" t="str">
        <f>IFERROR(__xludf.DUMMYFUNCTION("""COMPUTED_VALUE"""),"■商品卡$200")</f>
        <v>■商品卡$200</v>
      </c>
      <c r="H396" s="11"/>
    </row>
    <row r="397">
      <c r="A397" s="5" t="s">
        <v>9</v>
      </c>
      <c r="B397" s="9" t="str">
        <f>IFERROR(__xludf.DUMMYFUNCTION("""COMPUTED_VALUE"""),"何O倫")</f>
        <v>何O倫</v>
      </c>
      <c r="C397" s="9" t="str">
        <f>IFERROR(__xludf.DUMMYFUNCTION("""COMPUTED_VALUE"""),"hoh*****n@gmail.com")</f>
        <v>hoh*****n@gmail.com</v>
      </c>
      <c r="D397" s="9" t="str">
        <f>IFERROR(__xludf.DUMMYFUNCTION("""COMPUTED_VALUE"""),"新北市立中和高級中學")</f>
        <v>新北市立中和高級中學</v>
      </c>
      <c r="E397" s="9" t="str">
        <f>IFERROR(__xludf.DUMMYFUNCTION("""COMPUTED_VALUE"""),"普通科")</f>
        <v>普通科</v>
      </c>
      <c r="F397" s="9" t="str">
        <f>IFERROR(__xludf.DUMMYFUNCTION("""COMPUTED_VALUE"""),"一年級")</f>
        <v>一年級</v>
      </c>
      <c r="G397" s="10" t="str">
        <f>IFERROR(__xludf.DUMMYFUNCTION("""COMPUTED_VALUE"""),"獎狀")</f>
        <v>獎狀</v>
      </c>
      <c r="H397" s="11"/>
    </row>
    <row r="398">
      <c r="A398" s="5" t="s">
        <v>9</v>
      </c>
      <c r="B398" s="9" t="str">
        <f>IFERROR(__xludf.DUMMYFUNCTION("""COMPUTED_VALUE"""),"歐O萓")</f>
        <v>歐O萓</v>
      </c>
      <c r="C398" s="9" t="str">
        <f>IFERROR(__xludf.DUMMYFUNCTION("""COMPUTED_VALUE"""),"210*****ail2.chshs.ntpc.edu.tw")</f>
        <v>210*****ail2.chshs.ntpc.edu.tw</v>
      </c>
      <c r="D398" s="9" t="str">
        <f>IFERROR(__xludf.DUMMYFUNCTION("""COMPUTED_VALUE"""),"新北市立中和高級中學")</f>
        <v>新北市立中和高級中學</v>
      </c>
      <c r="E398" s="9" t="str">
        <f>IFERROR(__xludf.DUMMYFUNCTION("""COMPUTED_VALUE"""),"普通科")</f>
        <v>普通科</v>
      </c>
      <c r="F398" s="9" t="str">
        <f>IFERROR(__xludf.DUMMYFUNCTION("""COMPUTED_VALUE"""),"二年級")</f>
        <v>二年級</v>
      </c>
      <c r="G398" s="10" t="str">
        <f>IFERROR(__xludf.DUMMYFUNCTION("""COMPUTED_VALUE"""),"獎狀")</f>
        <v>獎狀</v>
      </c>
      <c r="H398" s="9"/>
    </row>
    <row r="399">
      <c r="A399" s="5" t="s">
        <v>9</v>
      </c>
      <c r="B399" s="9" t="str">
        <f>IFERROR(__xludf.DUMMYFUNCTION("""COMPUTED_VALUE"""),"盧O晞")</f>
        <v>盧O晞</v>
      </c>
      <c r="C399" s="9" t="str">
        <f>IFERROR(__xludf.DUMMYFUNCTION("""COMPUTED_VALUE"""),"fra*****55037@gmail.com")</f>
        <v>fra*****55037@gmail.com</v>
      </c>
      <c r="D399" s="9" t="str">
        <f>IFERROR(__xludf.DUMMYFUNCTION("""COMPUTED_VALUE"""),"新北市私立竹林高級中學")</f>
        <v>新北市私立竹林高級中學</v>
      </c>
      <c r="E399" s="9" t="str">
        <f>IFERROR(__xludf.DUMMYFUNCTION("""COMPUTED_VALUE"""),"普通科")</f>
        <v>普通科</v>
      </c>
      <c r="F399" s="9" t="str">
        <f>IFERROR(__xludf.DUMMYFUNCTION("""COMPUTED_VALUE"""),"一年級")</f>
        <v>一年級</v>
      </c>
      <c r="G399" s="10" t="str">
        <f>IFERROR(__xludf.DUMMYFUNCTION("""COMPUTED_VALUE"""),"獎狀")</f>
        <v>獎狀</v>
      </c>
      <c r="H399" s="9"/>
    </row>
    <row r="400">
      <c r="A400" s="5" t="s">
        <v>9</v>
      </c>
      <c r="B400" s="9" t="str">
        <f>IFERROR(__xludf.DUMMYFUNCTION("""COMPUTED_VALUE"""),"廖O豪")</f>
        <v>廖O豪</v>
      </c>
      <c r="C400" s="9" t="str">
        <f>IFERROR(__xludf.DUMMYFUNCTION("""COMPUTED_VALUE"""),"310*****lsh.ntpc.edu.tw")</f>
        <v>310*****lsh.ntpc.edu.tw</v>
      </c>
      <c r="D400" s="9" t="str">
        <f>IFERROR(__xludf.DUMMYFUNCTION("""COMPUTED_VALUE"""),"新北市私立竹林高級中學")</f>
        <v>新北市私立竹林高級中學</v>
      </c>
      <c r="E400" s="9" t="str">
        <f>IFERROR(__xludf.DUMMYFUNCTION("""COMPUTED_VALUE"""),"普通科")</f>
        <v>普通科</v>
      </c>
      <c r="F400" s="9" t="str">
        <f>IFERROR(__xludf.DUMMYFUNCTION("""COMPUTED_VALUE"""),"一年級")</f>
        <v>一年級</v>
      </c>
      <c r="G400" s="10" t="str">
        <f>IFERROR(__xludf.DUMMYFUNCTION("""COMPUTED_VALUE"""),"獎狀")</f>
        <v>獎狀</v>
      </c>
      <c r="H400" s="9"/>
    </row>
    <row r="401">
      <c r="A401" s="5" t="s">
        <v>9</v>
      </c>
      <c r="B401" s="9" t="str">
        <f>IFERROR(__xludf.DUMMYFUNCTION("""COMPUTED_VALUE"""),"符O軒")</f>
        <v>符O軒</v>
      </c>
      <c r="C401" s="9" t="str">
        <f>IFERROR(__xludf.DUMMYFUNCTION("""COMPUTED_VALUE"""),"410*****lsh.ntpc.edu.tw")</f>
        <v>410*****lsh.ntpc.edu.tw</v>
      </c>
      <c r="D401" s="9" t="str">
        <f>IFERROR(__xludf.DUMMYFUNCTION("""COMPUTED_VALUE"""),"新北市私立竹林高級中學")</f>
        <v>新北市私立竹林高級中學</v>
      </c>
      <c r="E401" s="9" t="str">
        <f>IFERROR(__xludf.DUMMYFUNCTION("""COMPUTED_VALUE"""),"普通科")</f>
        <v>普通科</v>
      </c>
      <c r="F401" s="9" t="str">
        <f>IFERROR(__xludf.DUMMYFUNCTION("""COMPUTED_VALUE"""),"一年級")</f>
        <v>一年級</v>
      </c>
      <c r="G401" s="10" t="str">
        <f>IFERROR(__xludf.DUMMYFUNCTION("""COMPUTED_VALUE"""),"獎狀")</f>
        <v>獎狀</v>
      </c>
      <c r="H401" s="9"/>
    </row>
    <row r="402">
      <c r="A402" s="5" t="s">
        <v>9</v>
      </c>
      <c r="B402" s="9" t="str">
        <f>IFERROR(__xludf.DUMMYFUNCTION("""COMPUTED_VALUE"""),"魏O宸")</f>
        <v>魏O宸</v>
      </c>
      <c r="C402" s="9" t="str">
        <f>IFERROR(__xludf.DUMMYFUNCTION("""COMPUTED_VALUE"""),"410*****lsh.ntpc.edu.tw")</f>
        <v>410*****lsh.ntpc.edu.tw</v>
      </c>
      <c r="D402" s="9" t="str">
        <f>IFERROR(__xludf.DUMMYFUNCTION("""COMPUTED_VALUE"""),"新北市私立竹林高級中學")</f>
        <v>新北市私立竹林高級中學</v>
      </c>
      <c r="E402" s="9" t="str">
        <f>IFERROR(__xludf.DUMMYFUNCTION("""COMPUTED_VALUE"""),"普通科")</f>
        <v>普通科</v>
      </c>
      <c r="F402" s="9" t="str">
        <f>IFERROR(__xludf.DUMMYFUNCTION("""COMPUTED_VALUE"""),"一年級")</f>
        <v>一年級</v>
      </c>
      <c r="G402" s="10" t="str">
        <f>IFERROR(__xludf.DUMMYFUNCTION("""COMPUTED_VALUE"""),"獎狀")</f>
        <v>獎狀</v>
      </c>
      <c r="H402" s="9"/>
    </row>
    <row r="403">
      <c r="A403" s="5" t="s">
        <v>9</v>
      </c>
      <c r="B403" s="9" t="str">
        <f>IFERROR(__xludf.DUMMYFUNCTION("""COMPUTED_VALUE"""),"郭O伶")</f>
        <v>郭O伶</v>
      </c>
      <c r="C403" s="9" t="str">
        <f>IFERROR(__xludf.DUMMYFUNCTION("""COMPUTED_VALUE"""),"410*****lsh.ntpc.edu.tw")</f>
        <v>410*****lsh.ntpc.edu.tw</v>
      </c>
      <c r="D403" s="9" t="str">
        <f>IFERROR(__xludf.DUMMYFUNCTION("""COMPUTED_VALUE"""),"新北市私立竹林高級中學")</f>
        <v>新北市私立竹林高級中學</v>
      </c>
      <c r="E403" s="9" t="str">
        <f>IFERROR(__xludf.DUMMYFUNCTION("""COMPUTED_VALUE"""),"普通科")</f>
        <v>普通科</v>
      </c>
      <c r="F403" s="9" t="str">
        <f>IFERROR(__xludf.DUMMYFUNCTION("""COMPUTED_VALUE"""),"一年級")</f>
        <v>一年級</v>
      </c>
      <c r="G403" s="10" t="str">
        <f>IFERROR(__xludf.DUMMYFUNCTION("""COMPUTED_VALUE"""),"○商品卡$500")</f>
        <v>○商品卡$500</v>
      </c>
      <c r="H403" s="9"/>
    </row>
    <row r="404">
      <c r="A404" s="5" t="s">
        <v>9</v>
      </c>
      <c r="B404" s="9" t="str">
        <f>IFERROR(__xludf.DUMMYFUNCTION("""COMPUTED_VALUE"""),"楊O昕")</f>
        <v>楊O昕</v>
      </c>
      <c r="C404" s="9" t="str">
        <f>IFERROR(__xludf.DUMMYFUNCTION("""COMPUTED_VALUE"""),"baa*****@seed.net.tw")</f>
        <v>baa*****@seed.net.tw</v>
      </c>
      <c r="D404" s="9" t="str">
        <f>IFERROR(__xludf.DUMMYFUNCTION("""COMPUTED_VALUE"""),"新北市私立竹林高級中學")</f>
        <v>新北市私立竹林高級中學</v>
      </c>
      <c r="E404" s="9" t="str">
        <f>IFERROR(__xludf.DUMMYFUNCTION("""COMPUTED_VALUE"""),"普通科")</f>
        <v>普通科</v>
      </c>
      <c r="F404" s="9" t="str">
        <f>IFERROR(__xludf.DUMMYFUNCTION("""COMPUTED_VALUE"""),"一年級")</f>
        <v>一年級</v>
      </c>
      <c r="G404" s="10" t="str">
        <f>IFERROR(__xludf.DUMMYFUNCTION("""COMPUTED_VALUE"""),"■商品卡$200")</f>
        <v>■商品卡$200</v>
      </c>
      <c r="H404" s="9"/>
    </row>
    <row r="405">
      <c r="A405" s="5" t="s">
        <v>9</v>
      </c>
      <c r="B405" s="9" t="str">
        <f>IFERROR(__xludf.DUMMYFUNCTION("""COMPUTED_VALUE"""),"陳O輔")</f>
        <v>陳O輔</v>
      </c>
      <c r="C405" s="9" t="str">
        <f>IFERROR(__xludf.DUMMYFUNCTION("""COMPUTED_VALUE"""),"310*****lsh.ntpc.edu.tw")</f>
        <v>310*****lsh.ntpc.edu.tw</v>
      </c>
      <c r="D405" s="9" t="str">
        <f>IFERROR(__xludf.DUMMYFUNCTION("""COMPUTED_VALUE"""),"新北市私立竹林高級中學")</f>
        <v>新北市私立竹林高級中學</v>
      </c>
      <c r="E405" s="9" t="str">
        <f>IFERROR(__xludf.DUMMYFUNCTION("""COMPUTED_VALUE"""),"普通科")</f>
        <v>普通科</v>
      </c>
      <c r="F405" s="9" t="str">
        <f>IFERROR(__xludf.DUMMYFUNCTION("""COMPUTED_VALUE"""),"一年級")</f>
        <v>一年級</v>
      </c>
      <c r="G405" s="10" t="str">
        <f>IFERROR(__xludf.DUMMYFUNCTION("""COMPUTED_VALUE"""),"獎狀")</f>
        <v>獎狀</v>
      </c>
      <c r="H405" s="9"/>
    </row>
    <row r="406">
      <c r="A406" s="5" t="s">
        <v>9</v>
      </c>
      <c r="B406" s="9" t="str">
        <f>IFERROR(__xludf.DUMMYFUNCTION("""COMPUTED_VALUE"""),"侯O睿")</f>
        <v>侯O睿</v>
      </c>
      <c r="C406" s="9" t="str">
        <f>IFERROR(__xludf.DUMMYFUNCTION("""COMPUTED_VALUE"""),"ray*****0324@gmail.com")</f>
        <v>ray*****0324@gmail.com</v>
      </c>
      <c r="D406" s="9" t="str">
        <f>IFERROR(__xludf.DUMMYFUNCTION("""COMPUTED_VALUE"""),"新北市私立竹林高級中學")</f>
        <v>新北市私立竹林高級中學</v>
      </c>
      <c r="E406" s="9" t="str">
        <f>IFERROR(__xludf.DUMMYFUNCTION("""COMPUTED_VALUE"""),"普通科")</f>
        <v>普通科</v>
      </c>
      <c r="F406" s="9" t="str">
        <f>IFERROR(__xludf.DUMMYFUNCTION("""COMPUTED_VALUE"""),"一年級")</f>
        <v>一年級</v>
      </c>
      <c r="G406" s="10" t="str">
        <f>IFERROR(__xludf.DUMMYFUNCTION("""COMPUTED_VALUE"""),"★商品卡$1000")</f>
        <v>★商品卡$1000</v>
      </c>
      <c r="H406" s="11"/>
    </row>
    <row r="407">
      <c r="A407" s="5" t="s">
        <v>9</v>
      </c>
      <c r="B407" s="9" t="str">
        <f>IFERROR(__xludf.DUMMYFUNCTION("""COMPUTED_VALUE"""),"林O軒")</f>
        <v>林O軒</v>
      </c>
      <c r="C407" s="9" t="str">
        <f>IFERROR(__xludf.DUMMYFUNCTION("""COMPUTED_VALUE"""),"310*****lsh.ntpc.edu.tw")</f>
        <v>310*****lsh.ntpc.edu.tw</v>
      </c>
      <c r="D407" s="9" t="str">
        <f>IFERROR(__xludf.DUMMYFUNCTION("""COMPUTED_VALUE"""),"新北市私立竹林高級中學")</f>
        <v>新北市私立竹林高級中學</v>
      </c>
      <c r="E407" s="9" t="str">
        <f>IFERROR(__xludf.DUMMYFUNCTION("""COMPUTED_VALUE"""),"普通科")</f>
        <v>普通科</v>
      </c>
      <c r="F407" s="9" t="str">
        <f>IFERROR(__xludf.DUMMYFUNCTION("""COMPUTED_VALUE"""),"二年級")</f>
        <v>二年級</v>
      </c>
      <c r="G407" s="10" t="str">
        <f>IFERROR(__xludf.DUMMYFUNCTION("""COMPUTED_VALUE"""),"獎狀")</f>
        <v>獎狀</v>
      </c>
      <c r="H407" s="11"/>
    </row>
    <row r="408">
      <c r="A408" s="5" t="s">
        <v>9</v>
      </c>
      <c r="B408" s="9" t="str">
        <f>IFERROR(__xludf.DUMMYFUNCTION("""COMPUTED_VALUE"""),"林O福")</f>
        <v>林O福</v>
      </c>
      <c r="C408" s="9" t="str">
        <f>IFERROR(__xludf.DUMMYFUNCTION("""COMPUTED_VALUE"""),"210*****lsh.ntpc.edu.tw")</f>
        <v>210*****lsh.ntpc.edu.tw</v>
      </c>
      <c r="D408" s="9" t="str">
        <f>IFERROR(__xludf.DUMMYFUNCTION("""COMPUTED_VALUE"""),"新北市私立竹林高級中學")</f>
        <v>新北市私立竹林高級中學</v>
      </c>
      <c r="E408" s="9" t="str">
        <f>IFERROR(__xludf.DUMMYFUNCTION("""COMPUTED_VALUE"""),"普通科")</f>
        <v>普通科</v>
      </c>
      <c r="F408" s="9" t="str">
        <f>IFERROR(__xludf.DUMMYFUNCTION("""COMPUTED_VALUE"""),"二年級")</f>
        <v>二年級</v>
      </c>
      <c r="G408" s="10" t="str">
        <f>IFERROR(__xludf.DUMMYFUNCTION("""COMPUTED_VALUE"""),"獎狀")</f>
        <v>獎狀</v>
      </c>
      <c r="H408" s="9"/>
    </row>
    <row r="409">
      <c r="A409" s="5" t="s">
        <v>9</v>
      </c>
      <c r="B409" s="9" t="str">
        <f>IFERROR(__xludf.DUMMYFUNCTION("""COMPUTED_VALUE"""),"詹O登")</f>
        <v>詹O登</v>
      </c>
      <c r="C409" s="9" t="str">
        <f>IFERROR(__xludf.DUMMYFUNCTION("""COMPUTED_VALUE"""),"zha*****ng@gmail.com")</f>
        <v>zha*****ng@gmail.com</v>
      </c>
      <c r="D409" s="9" t="str">
        <f>IFERROR(__xludf.DUMMYFUNCTION("""COMPUTED_VALUE"""),"新北市私立竹林高級中學")</f>
        <v>新北市私立竹林高級中學</v>
      </c>
      <c r="E409" s="9" t="str">
        <f>IFERROR(__xludf.DUMMYFUNCTION("""COMPUTED_VALUE"""),"普通科")</f>
        <v>普通科</v>
      </c>
      <c r="F409" s="9" t="str">
        <f>IFERROR(__xludf.DUMMYFUNCTION("""COMPUTED_VALUE"""),"二年級")</f>
        <v>二年級</v>
      </c>
      <c r="G409" s="10" t="str">
        <f>IFERROR(__xludf.DUMMYFUNCTION("""COMPUTED_VALUE"""),"獎狀")</f>
        <v>獎狀</v>
      </c>
      <c r="H409" s="9"/>
    </row>
    <row r="410">
      <c r="A410" s="5" t="s">
        <v>9</v>
      </c>
      <c r="B410" s="9" t="str">
        <f>IFERROR(__xludf.DUMMYFUNCTION("""COMPUTED_VALUE"""),"王O涵")</f>
        <v>王O涵</v>
      </c>
      <c r="C410" s="9" t="str">
        <f>IFERROR(__xludf.DUMMYFUNCTION("""COMPUTED_VALUE"""),"310*****lsh.ntpc.edu.tw")</f>
        <v>310*****lsh.ntpc.edu.tw</v>
      </c>
      <c r="D410" s="9" t="str">
        <f>IFERROR(__xludf.DUMMYFUNCTION("""COMPUTED_VALUE"""),"新北市私立竹林高級中學")</f>
        <v>新北市私立竹林高級中學</v>
      </c>
      <c r="E410" s="9" t="str">
        <f>IFERROR(__xludf.DUMMYFUNCTION("""COMPUTED_VALUE"""),"普通科")</f>
        <v>普通科</v>
      </c>
      <c r="F410" s="9" t="str">
        <f>IFERROR(__xludf.DUMMYFUNCTION("""COMPUTED_VALUE"""),"二年級")</f>
        <v>二年級</v>
      </c>
      <c r="G410" s="10" t="str">
        <f>IFERROR(__xludf.DUMMYFUNCTION("""COMPUTED_VALUE"""),"獎狀")</f>
        <v>獎狀</v>
      </c>
      <c r="H410" s="9"/>
    </row>
    <row r="411">
      <c r="A411" s="5" t="s">
        <v>9</v>
      </c>
      <c r="B411" s="9" t="str">
        <f>IFERROR(__xludf.DUMMYFUNCTION("""COMPUTED_VALUE"""),"林O嫆")</f>
        <v>林O嫆</v>
      </c>
      <c r="C411" s="9" t="str">
        <f>IFERROR(__xludf.DUMMYFUNCTION("""COMPUTED_VALUE"""),"310*****lsh.ntpc.edu.tw")</f>
        <v>310*****lsh.ntpc.edu.tw</v>
      </c>
      <c r="D411" s="9" t="str">
        <f>IFERROR(__xludf.DUMMYFUNCTION("""COMPUTED_VALUE"""),"新北市私立竹林高級中學")</f>
        <v>新北市私立竹林高級中學</v>
      </c>
      <c r="E411" s="9" t="str">
        <f>IFERROR(__xludf.DUMMYFUNCTION("""COMPUTED_VALUE"""),"普通科")</f>
        <v>普通科</v>
      </c>
      <c r="F411" s="9" t="str">
        <f>IFERROR(__xludf.DUMMYFUNCTION("""COMPUTED_VALUE"""),"二年級")</f>
        <v>二年級</v>
      </c>
      <c r="G411" s="10" t="str">
        <f>IFERROR(__xludf.DUMMYFUNCTION("""COMPUTED_VALUE"""),"■商品卡$200")</f>
        <v>■商品卡$200</v>
      </c>
      <c r="H411" s="9"/>
    </row>
    <row r="412">
      <c r="A412" s="5" t="s">
        <v>9</v>
      </c>
      <c r="B412" s="9" t="str">
        <f>IFERROR(__xludf.DUMMYFUNCTION("""COMPUTED_VALUE"""),"吳O鴻")</f>
        <v>吳O鴻</v>
      </c>
      <c r="C412" s="9" t="str">
        <f>IFERROR(__xludf.DUMMYFUNCTION("""COMPUTED_VALUE"""),"310*****lsh.ntpc.edu.tw")</f>
        <v>310*****lsh.ntpc.edu.tw</v>
      </c>
      <c r="D412" s="9" t="str">
        <f>IFERROR(__xludf.DUMMYFUNCTION("""COMPUTED_VALUE"""),"新北市私立竹林高級中學")</f>
        <v>新北市私立竹林高級中學</v>
      </c>
      <c r="E412" s="9" t="str">
        <f>IFERROR(__xludf.DUMMYFUNCTION("""COMPUTED_VALUE"""),"普通科")</f>
        <v>普通科</v>
      </c>
      <c r="F412" s="9" t="str">
        <f>IFERROR(__xludf.DUMMYFUNCTION("""COMPUTED_VALUE"""),"二年級")</f>
        <v>二年級</v>
      </c>
      <c r="G412" s="10" t="str">
        <f>IFERROR(__xludf.DUMMYFUNCTION("""COMPUTED_VALUE"""),"獎狀")</f>
        <v>獎狀</v>
      </c>
      <c r="H412" s="9"/>
    </row>
    <row r="413">
      <c r="A413" s="5" t="s">
        <v>9</v>
      </c>
      <c r="B413" s="9" t="str">
        <f>IFERROR(__xludf.DUMMYFUNCTION("""COMPUTED_VALUE"""),"吳O璇")</f>
        <v>吳O璇</v>
      </c>
      <c r="C413" s="9" t="str">
        <f>IFERROR(__xludf.DUMMYFUNCTION("""COMPUTED_VALUE"""),"310*****lsh.ntpc.edu.tw")</f>
        <v>310*****lsh.ntpc.edu.tw</v>
      </c>
      <c r="D413" s="9" t="str">
        <f>IFERROR(__xludf.DUMMYFUNCTION("""COMPUTED_VALUE"""),"新北市私立竹林高級中學")</f>
        <v>新北市私立竹林高級中學</v>
      </c>
      <c r="E413" s="9" t="str">
        <f>IFERROR(__xludf.DUMMYFUNCTION("""COMPUTED_VALUE"""),"普通科")</f>
        <v>普通科</v>
      </c>
      <c r="F413" s="9" t="str">
        <f>IFERROR(__xludf.DUMMYFUNCTION("""COMPUTED_VALUE"""),"二年級")</f>
        <v>二年級</v>
      </c>
      <c r="G413" s="10" t="str">
        <f>IFERROR(__xludf.DUMMYFUNCTION("""COMPUTED_VALUE"""),"獎狀")</f>
        <v>獎狀</v>
      </c>
      <c r="H413" s="9"/>
    </row>
    <row r="414">
      <c r="A414" s="5" t="s">
        <v>9</v>
      </c>
      <c r="B414" s="9" t="str">
        <f>IFERROR(__xludf.DUMMYFUNCTION("""COMPUTED_VALUE"""),"郭O均")</f>
        <v>郭O均</v>
      </c>
      <c r="C414" s="9" t="str">
        <f>IFERROR(__xludf.DUMMYFUNCTION("""COMPUTED_VALUE"""),"310*****lsh.ntpc.edu.tw")</f>
        <v>310*****lsh.ntpc.edu.tw</v>
      </c>
      <c r="D414" s="9" t="str">
        <f>IFERROR(__xludf.DUMMYFUNCTION("""COMPUTED_VALUE"""),"新北市私立竹林高級中學")</f>
        <v>新北市私立竹林高級中學</v>
      </c>
      <c r="E414" s="9" t="str">
        <f>IFERROR(__xludf.DUMMYFUNCTION("""COMPUTED_VALUE"""),"普通科")</f>
        <v>普通科</v>
      </c>
      <c r="F414" s="9" t="str">
        <f>IFERROR(__xludf.DUMMYFUNCTION("""COMPUTED_VALUE"""),"二年級")</f>
        <v>二年級</v>
      </c>
      <c r="G414" s="10" t="str">
        <f>IFERROR(__xludf.DUMMYFUNCTION("""COMPUTED_VALUE"""),"獎狀")</f>
        <v>獎狀</v>
      </c>
      <c r="H414" s="9"/>
    </row>
    <row r="415">
      <c r="A415" s="5" t="s">
        <v>9</v>
      </c>
      <c r="B415" s="9" t="str">
        <f>IFERROR(__xludf.DUMMYFUNCTION("""COMPUTED_VALUE"""),"李O瑜")</f>
        <v>李O瑜</v>
      </c>
      <c r="C415" s="9" t="str">
        <f>IFERROR(__xludf.DUMMYFUNCTION("""COMPUTED_VALUE"""),"310*****lsh.ntpc.edu.tw")</f>
        <v>310*****lsh.ntpc.edu.tw</v>
      </c>
      <c r="D415" s="9" t="str">
        <f>IFERROR(__xludf.DUMMYFUNCTION("""COMPUTED_VALUE"""),"新北市私立竹林高級中學")</f>
        <v>新北市私立竹林高級中學</v>
      </c>
      <c r="E415" s="9" t="str">
        <f>IFERROR(__xludf.DUMMYFUNCTION("""COMPUTED_VALUE"""),"普通科")</f>
        <v>普通科</v>
      </c>
      <c r="F415" s="9" t="str">
        <f>IFERROR(__xludf.DUMMYFUNCTION("""COMPUTED_VALUE"""),"二年級")</f>
        <v>二年級</v>
      </c>
      <c r="G415" s="10" t="str">
        <f>IFERROR(__xludf.DUMMYFUNCTION("""COMPUTED_VALUE"""),"獎狀")</f>
        <v>獎狀</v>
      </c>
      <c r="H415" s="9"/>
    </row>
    <row r="416">
      <c r="A416" s="5" t="s">
        <v>9</v>
      </c>
      <c r="B416" s="9" t="str">
        <f>IFERROR(__xludf.DUMMYFUNCTION("""COMPUTED_VALUE"""),"巫O葦")</f>
        <v>巫O葦</v>
      </c>
      <c r="C416" s="9" t="str">
        <f>IFERROR(__xludf.DUMMYFUNCTION("""COMPUTED_VALUE"""),"310*****lsh.ntpc.edu.tw")</f>
        <v>310*****lsh.ntpc.edu.tw</v>
      </c>
      <c r="D416" s="9" t="str">
        <f>IFERROR(__xludf.DUMMYFUNCTION("""COMPUTED_VALUE"""),"新北市私立竹林高級中學")</f>
        <v>新北市私立竹林高級中學</v>
      </c>
      <c r="E416" s="9" t="str">
        <f>IFERROR(__xludf.DUMMYFUNCTION("""COMPUTED_VALUE"""),"普通科")</f>
        <v>普通科</v>
      </c>
      <c r="F416" s="9" t="str">
        <f>IFERROR(__xludf.DUMMYFUNCTION("""COMPUTED_VALUE"""),"二年級")</f>
        <v>二年級</v>
      </c>
      <c r="G416" s="10" t="str">
        <f>IFERROR(__xludf.DUMMYFUNCTION("""COMPUTED_VALUE"""),"獎狀")</f>
        <v>獎狀</v>
      </c>
      <c r="H416" s="9"/>
    </row>
    <row r="417">
      <c r="A417" s="5" t="s">
        <v>9</v>
      </c>
      <c r="B417" s="9" t="str">
        <f>IFERROR(__xludf.DUMMYFUNCTION("""COMPUTED_VALUE"""),"洪O軒")</f>
        <v>洪O軒</v>
      </c>
      <c r="C417" s="9" t="str">
        <f>IFERROR(__xludf.DUMMYFUNCTION("""COMPUTED_VALUE"""),"310*****lsh.ntpc.edu.tw")</f>
        <v>310*****lsh.ntpc.edu.tw</v>
      </c>
      <c r="D417" s="9" t="str">
        <f>IFERROR(__xludf.DUMMYFUNCTION("""COMPUTED_VALUE"""),"新北市私立竹林高級中學")</f>
        <v>新北市私立竹林高級中學</v>
      </c>
      <c r="E417" s="9" t="str">
        <f>IFERROR(__xludf.DUMMYFUNCTION("""COMPUTED_VALUE"""),"普通科")</f>
        <v>普通科</v>
      </c>
      <c r="F417" s="9" t="str">
        <f>IFERROR(__xludf.DUMMYFUNCTION("""COMPUTED_VALUE"""),"二年級")</f>
        <v>二年級</v>
      </c>
      <c r="G417" s="10" t="str">
        <f>IFERROR(__xludf.DUMMYFUNCTION("""COMPUTED_VALUE"""),"獎狀")</f>
        <v>獎狀</v>
      </c>
      <c r="H417" s="9"/>
    </row>
    <row r="418">
      <c r="A418" s="5" t="s">
        <v>9</v>
      </c>
      <c r="B418" s="9" t="str">
        <f>IFERROR(__xludf.DUMMYFUNCTION("""COMPUTED_VALUE"""),"何O穎")</f>
        <v>何O穎</v>
      </c>
      <c r="C418" s="9" t="str">
        <f>IFERROR(__xludf.DUMMYFUNCTION("""COMPUTED_VALUE"""),"310*****lsh.ntpc.edu.tw")</f>
        <v>310*****lsh.ntpc.edu.tw</v>
      </c>
      <c r="D418" s="9" t="str">
        <f>IFERROR(__xludf.DUMMYFUNCTION("""COMPUTED_VALUE"""),"新北市私立竹林高級中學")</f>
        <v>新北市私立竹林高級中學</v>
      </c>
      <c r="E418" s="9" t="str">
        <f>IFERROR(__xludf.DUMMYFUNCTION("""COMPUTED_VALUE"""),"普通科")</f>
        <v>普通科</v>
      </c>
      <c r="F418" s="9" t="str">
        <f>IFERROR(__xludf.DUMMYFUNCTION("""COMPUTED_VALUE"""),"二年級")</f>
        <v>二年級</v>
      </c>
      <c r="G418" s="10" t="str">
        <f>IFERROR(__xludf.DUMMYFUNCTION("""COMPUTED_VALUE"""),"獎狀")</f>
        <v>獎狀</v>
      </c>
      <c r="H418" s="9"/>
    </row>
    <row r="419">
      <c r="A419" s="5" t="s">
        <v>9</v>
      </c>
      <c r="B419" s="9" t="str">
        <f>IFERROR(__xludf.DUMMYFUNCTION("""COMPUTED_VALUE"""),"何O蕾")</f>
        <v>何O蕾</v>
      </c>
      <c r="C419" s="9" t="str">
        <f>IFERROR(__xludf.DUMMYFUNCTION("""COMPUTED_VALUE"""),"310*****lsh.ntpc.edu.tw")</f>
        <v>310*****lsh.ntpc.edu.tw</v>
      </c>
      <c r="D419" s="9" t="str">
        <f>IFERROR(__xludf.DUMMYFUNCTION("""COMPUTED_VALUE"""),"新北市私立竹林高級中學")</f>
        <v>新北市私立竹林高級中學</v>
      </c>
      <c r="E419" s="9" t="str">
        <f>IFERROR(__xludf.DUMMYFUNCTION("""COMPUTED_VALUE"""),"普通科")</f>
        <v>普通科</v>
      </c>
      <c r="F419" s="9" t="str">
        <f>IFERROR(__xludf.DUMMYFUNCTION("""COMPUTED_VALUE"""),"二年級")</f>
        <v>二年級</v>
      </c>
      <c r="G419" s="10" t="str">
        <f>IFERROR(__xludf.DUMMYFUNCTION("""COMPUTED_VALUE"""),"★商品卡$1000")</f>
        <v>★商品卡$1000</v>
      </c>
      <c r="H419" s="9"/>
    </row>
    <row r="420">
      <c r="A420" s="5" t="s">
        <v>9</v>
      </c>
      <c r="B420" s="9" t="str">
        <f>IFERROR(__xludf.DUMMYFUNCTION("""COMPUTED_VALUE"""),"黃O婷")</f>
        <v>黃O婷</v>
      </c>
      <c r="C420" s="9" t="str">
        <f>IFERROR(__xludf.DUMMYFUNCTION("""COMPUTED_VALUE"""),"310*****lsh.ntpc.edu.tw")</f>
        <v>310*****lsh.ntpc.edu.tw</v>
      </c>
      <c r="D420" s="9" t="str">
        <f>IFERROR(__xludf.DUMMYFUNCTION("""COMPUTED_VALUE"""),"新北市私立竹林高級中學")</f>
        <v>新北市私立竹林高級中學</v>
      </c>
      <c r="E420" s="9" t="str">
        <f>IFERROR(__xludf.DUMMYFUNCTION("""COMPUTED_VALUE"""),"普通科")</f>
        <v>普通科</v>
      </c>
      <c r="F420" s="9" t="str">
        <f>IFERROR(__xludf.DUMMYFUNCTION("""COMPUTED_VALUE"""),"二年級")</f>
        <v>二年級</v>
      </c>
      <c r="G420" s="10" t="str">
        <f>IFERROR(__xludf.DUMMYFUNCTION("""COMPUTED_VALUE"""),"獎狀")</f>
        <v>獎狀</v>
      </c>
      <c r="H420" s="9"/>
    </row>
    <row r="421">
      <c r="A421" s="5" t="s">
        <v>9</v>
      </c>
      <c r="B421" s="9" t="str">
        <f>IFERROR(__xludf.DUMMYFUNCTION("""COMPUTED_VALUE"""),"李O謙")</f>
        <v>李O謙</v>
      </c>
      <c r="C421" s="9" t="str">
        <f>IFERROR(__xludf.DUMMYFUNCTION("""COMPUTED_VALUE"""),"310*****lsh.ntpc.edu.tw")</f>
        <v>310*****lsh.ntpc.edu.tw</v>
      </c>
      <c r="D421" s="9" t="str">
        <f>IFERROR(__xludf.DUMMYFUNCTION("""COMPUTED_VALUE"""),"新北市私立竹林高級中學")</f>
        <v>新北市私立竹林高級中學</v>
      </c>
      <c r="E421" s="9" t="str">
        <f>IFERROR(__xludf.DUMMYFUNCTION("""COMPUTED_VALUE"""),"普通科")</f>
        <v>普通科</v>
      </c>
      <c r="F421" s="9" t="str">
        <f>IFERROR(__xludf.DUMMYFUNCTION("""COMPUTED_VALUE"""),"二年級")</f>
        <v>二年級</v>
      </c>
      <c r="G421" s="10" t="str">
        <f>IFERROR(__xludf.DUMMYFUNCTION("""COMPUTED_VALUE"""),"獎狀")</f>
        <v>獎狀</v>
      </c>
      <c r="H421" s="9"/>
    </row>
    <row r="422">
      <c r="A422" s="5" t="s">
        <v>9</v>
      </c>
      <c r="B422" s="9" t="str">
        <f>IFERROR(__xludf.DUMMYFUNCTION("""COMPUTED_VALUE"""),"王O恒")</f>
        <v>王O恒</v>
      </c>
      <c r="C422" s="9" t="str">
        <f>IFERROR(__xludf.DUMMYFUNCTION("""COMPUTED_VALUE"""),"310*****lsh.ntpc.edu.tw")</f>
        <v>310*****lsh.ntpc.edu.tw</v>
      </c>
      <c r="D422" s="9" t="str">
        <f>IFERROR(__xludf.DUMMYFUNCTION("""COMPUTED_VALUE"""),"新北市私立竹林高級中學")</f>
        <v>新北市私立竹林高級中學</v>
      </c>
      <c r="E422" s="9" t="str">
        <f>IFERROR(__xludf.DUMMYFUNCTION("""COMPUTED_VALUE"""),"普通科")</f>
        <v>普通科</v>
      </c>
      <c r="F422" s="9" t="str">
        <f>IFERROR(__xludf.DUMMYFUNCTION("""COMPUTED_VALUE"""),"二年級")</f>
        <v>二年級</v>
      </c>
      <c r="G422" s="10" t="str">
        <f>IFERROR(__xludf.DUMMYFUNCTION("""COMPUTED_VALUE"""),"獎狀")</f>
        <v>獎狀</v>
      </c>
      <c r="H422" s="9"/>
    </row>
    <row r="423">
      <c r="A423" s="5" t="s">
        <v>9</v>
      </c>
      <c r="B423" s="9" t="str">
        <f>IFERROR(__xludf.DUMMYFUNCTION("""COMPUTED_VALUE"""),"白O聿")</f>
        <v>白O聿</v>
      </c>
      <c r="C423" s="9" t="str">
        <f>IFERROR(__xludf.DUMMYFUNCTION("""COMPUTED_VALUE"""),"310*****lsh.ntpc.edu.tw")</f>
        <v>310*****lsh.ntpc.edu.tw</v>
      </c>
      <c r="D423" s="9" t="str">
        <f>IFERROR(__xludf.DUMMYFUNCTION("""COMPUTED_VALUE"""),"新北市私立竹林高級中學")</f>
        <v>新北市私立竹林高級中學</v>
      </c>
      <c r="E423" s="9" t="str">
        <f>IFERROR(__xludf.DUMMYFUNCTION("""COMPUTED_VALUE"""),"普通科")</f>
        <v>普通科</v>
      </c>
      <c r="F423" s="9" t="str">
        <f>IFERROR(__xludf.DUMMYFUNCTION("""COMPUTED_VALUE"""),"二年級")</f>
        <v>二年級</v>
      </c>
      <c r="G423" s="10" t="str">
        <f>IFERROR(__xludf.DUMMYFUNCTION("""COMPUTED_VALUE"""),"獎狀")</f>
        <v>獎狀</v>
      </c>
      <c r="H423" s="9"/>
    </row>
    <row r="424">
      <c r="A424" s="5" t="s">
        <v>9</v>
      </c>
      <c r="B424" s="9" t="str">
        <f>IFERROR(__xludf.DUMMYFUNCTION("""COMPUTED_VALUE"""),"林O瑄")</f>
        <v>林O瑄</v>
      </c>
      <c r="C424" s="9" t="str">
        <f>IFERROR(__xludf.DUMMYFUNCTION("""COMPUTED_VALUE"""),"310*****lsh.ntpc.edu.tw")</f>
        <v>310*****lsh.ntpc.edu.tw</v>
      </c>
      <c r="D424" s="9" t="str">
        <f>IFERROR(__xludf.DUMMYFUNCTION("""COMPUTED_VALUE"""),"新北市私立竹林高級中學")</f>
        <v>新北市私立竹林高級中學</v>
      </c>
      <c r="E424" s="9" t="str">
        <f>IFERROR(__xludf.DUMMYFUNCTION("""COMPUTED_VALUE"""),"普通科")</f>
        <v>普通科</v>
      </c>
      <c r="F424" s="9" t="str">
        <f>IFERROR(__xludf.DUMMYFUNCTION("""COMPUTED_VALUE"""),"二年級")</f>
        <v>二年級</v>
      </c>
      <c r="G424" s="10" t="str">
        <f>IFERROR(__xludf.DUMMYFUNCTION("""COMPUTED_VALUE"""),"獎狀")</f>
        <v>獎狀</v>
      </c>
      <c r="H424" s="9"/>
    </row>
    <row r="425">
      <c r="A425" s="5" t="s">
        <v>9</v>
      </c>
      <c r="B425" s="9" t="str">
        <f>IFERROR(__xludf.DUMMYFUNCTION("""COMPUTED_VALUE"""),"陳O銘")</f>
        <v>陳O銘</v>
      </c>
      <c r="C425" s="9" t="str">
        <f>IFERROR(__xludf.DUMMYFUNCTION("""COMPUTED_VALUE"""),"che*****ing1127@gmail.com")</f>
        <v>che*****ing1127@gmail.com</v>
      </c>
      <c r="D425" s="9" t="str">
        <f>IFERROR(__xludf.DUMMYFUNCTION("""COMPUTED_VALUE"""),"新北市私立竹林高級中學")</f>
        <v>新北市私立竹林高級中學</v>
      </c>
      <c r="E425" s="9" t="str">
        <f>IFERROR(__xludf.DUMMYFUNCTION("""COMPUTED_VALUE"""),"普通科")</f>
        <v>普通科</v>
      </c>
      <c r="F425" s="9" t="str">
        <f>IFERROR(__xludf.DUMMYFUNCTION("""COMPUTED_VALUE"""),"二年級")</f>
        <v>二年級</v>
      </c>
      <c r="G425" s="10" t="str">
        <f>IFERROR(__xludf.DUMMYFUNCTION("""COMPUTED_VALUE"""),"獎狀")</f>
        <v>獎狀</v>
      </c>
      <c r="H425" s="9"/>
    </row>
    <row r="426">
      <c r="A426" s="5" t="s">
        <v>9</v>
      </c>
      <c r="B426" s="9" t="str">
        <f>IFERROR(__xludf.DUMMYFUNCTION("""COMPUTED_VALUE"""),"黃O鈞")</f>
        <v>黃O鈞</v>
      </c>
      <c r="C426" s="9" t="str">
        <f>IFERROR(__xludf.DUMMYFUNCTION("""COMPUTED_VALUE"""),"310*****lsh.ntpc.edu.tw")</f>
        <v>310*****lsh.ntpc.edu.tw</v>
      </c>
      <c r="D426" s="9" t="str">
        <f>IFERROR(__xludf.DUMMYFUNCTION("""COMPUTED_VALUE"""),"新北市私立竹林高級中學")</f>
        <v>新北市私立竹林高級中學</v>
      </c>
      <c r="E426" s="9" t="str">
        <f>IFERROR(__xludf.DUMMYFUNCTION("""COMPUTED_VALUE"""),"普通科")</f>
        <v>普通科</v>
      </c>
      <c r="F426" s="9" t="str">
        <f>IFERROR(__xludf.DUMMYFUNCTION("""COMPUTED_VALUE"""),"二年級")</f>
        <v>二年級</v>
      </c>
      <c r="G426" s="10" t="str">
        <f>IFERROR(__xludf.DUMMYFUNCTION("""COMPUTED_VALUE"""),"獎狀")</f>
        <v>獎狀</v>
      </c>
      <c r="H426" s="9"/>
    </row>
    <row r="427">
      <c r="A427" s="5" t="s">
        <v>9</v>
      </c>
      <c r="B427" s="9" t="str">
        <f>IFERROR(__xludf.DUMMYFUNCTION("""COMPUTED_VALUE"""),"賴O凝")</f>
        <v>賴O凝</v>
      </c>
      <c r="C427" s="9" t="str">
        <f>IFERROR(__xludf.DUMMYFUNCTION("""COMPUTED_VALUE"""),"210*****lsh.ntpc.edu.tw")</f>
        <v>210*****lsh.ntpc.edu.tw</v>
      </c>
      <c r="D427" s="9" t="str">
        <f>IFERROR(__xludf.DUMMYFUNCTION("""COMPUTED_VALUE"""),"新北市私立竹林高級中學")</f>
        <v>新北市私立竹林高級中學</v>
      </c>
      <c r="E427" s="9" t="str">
        <f>IFERROR(__xludf.DUMMYFUNCTION("""COMPUTED_VALUE"""),"普通科")</f>
        <v>普通科</v>
      </c>
      <c r="F427" s="9" t="str">
        <f>IFERROR(__xludf.DUMMYFUNCTION("""COMPUTED_VALUE"""),"二年級")</f>
        <v>二年級</v>
      </c>
      <c r="G427" s="10" t="str">
        <f>IFERROR(__xludf.DUMMYFUNCTION("""COMPUTED_VALUE"""),"獎狀")</f>
        <v>獎狀</v>
      </c>
      <c r="H427" s="9"/>
    </row>
    <row r="428">
      <c r="A428" s="5" t="s">
        <v>9</v>
      </c>
      <c r="B428" s="9" t="str">
        <f>IFERROR(__xludf.DUMMYFUNCTION("""COMPUTED_VALUE"""),"吳O秝")</f>
        <v>吳O秝</v>
      </c>
      <c r="C428" s="9" t="str">
        <f>IFERROR(__xludf.DUMMYFUNCTION("""COMPUTED_VALUE"""),"210*****lsh.ntpc.edu.tw")</f>
        <v>210*****lsh.ntpc.edu.tw</v>
      </c>
      <c r="D428" s="9" t="str">
        <f>IFERROR(__xludf.DUMMYFUNCTION("""COMPUTED_VALUE"""),"新北市私立竹林高級中學")</f>
        <v>新北市私立竹林高級中學</v>
      </c>
      <c r="E428" s="9" t="str">
        <f>IFERROR(__xludf.DUMMYFUNCTION("""COMPUTED_VALUE"""),"普通科")</f>
        <v>普通科</v>
      </c>
      <c r="F428" s="9" t="str">
        <f>IFERROR(__xludf.DUMMYFUNCTION("""COMPUTED_VALUE"""),"二年級")</f>
        <v>二年級</v>
      </c>
      <c r="G428" s="10" t="str">
        <f>IFERROR(__xludf.DUMMYFUNCTION("""COMPUTED_VALUE"""),"獎狀")</f>
        <v>獎狀</v>
      </c>
      <c r="H428" s="9"/>
    </row>
    <row r="429">
      <c r="A429" s="5" t="s">
        <v>9</v>
      </c>
      <c r="B429" s="9" t="str">
        <f>IFERROR(__xludf.DUMMYFUNCTION("""COMPUTED_VALUE"""),"林O芸")</f>
        <v>林O芸</v>
      </c>
      <c r="C429" s="9" t="str">
        <f>IFERROR(__xludf.DUMMYFUNCTION("""COMPUTED_VALUE"""),"dai*****ll@yahoo.com.tw")</f>
        <v>dai*****ll@yahoo.com.tw</v>
      </c>
      <c r="D429" s="9" t="str">
        <f>IFERROR(__xludf.DUMMYFUNCTION("""COMPUTED_VALUE"""),"新北市私立竹林高級中學")</f>
        <v>新北市私立竹林高級中學</v>
      </c>
      <c r="E429" s="9" t="str">
        <f>IFERROR(__xludf.DUMMYFUNCTION("""COMPUTED_VALUE"""),"普通科")</f>
        <v>普通科</v>
      </c>
      <c r="F429" s="9" t="str">
        <f>IFERROR(__xludf.DUMMYFUNCTION("""COMPUTED_VALUE"""),"二年級")</f>
        <v>二年級</v>
      </c>
      <c r="G429" s="10" t="str">
        <f>IFERROR(__xludf.DUMMYFUNCTION("""COMPUTED_VALUE"""),"獎狀")</f>
        <v>獎狀</v>
      </c>
      <c r="H429" s="9"/>
    </row>
    <row r="430">
      <c r="A430" s="5" t="s">
        <v>9</v>
      </c>
      <c r="B430" s="9" t="str">
        <f>IFERROR(__xludf.DUMMYFUNCTION("""COMPUTED_VALUE"""),"吳O蓁")</f>
        <v>吳O蓁</v>
      </c>
      <c r="C430" s="9" t="str">
        <f>IFERROR(__xludf.DUMMYFUNCTION("""COMPUTED_VALUE"""),"nin*****23@gmail.com")</f>
        <v>nin*****23@gmail.com</v>
      </c>
      <c r="D430" s="9" t="str">
        <f>IFERROR(__xludf.DUMMYFUNCTION("""COMPUTED_VALUE"""),"新北市私立竹林高級中學")</f>
        <v>新北市私立竹林高級中學</v>
      </c>
      <c r="E430" s="9" t="str">
        <f>IFERROR(__xludf.DUMMYFUNCTION("""COMPUTED_VALUE"""),"普通科")</f>
        <v>普通科</v>
      </c>
      <c r="F430" s="9" t="str">
        <f>IFERROR(__xludf.DUMMYFUNCTION("""COMPUTED_VALUE"""),"三年級")</f>
        <v>三年級</v>
      </c>
      <c r="G430" s="10" t="str">
        <f>IFERROR(__xludf.DUMMYFUNCTION("""COMPUTED_VALUE"""),"獎狀")</f>
        <v>獎狀</v>
      </c>
      <c r="H430" s="9"/>
    </row>
    <row r="431">
      <c r="A431" s="5" t="s">
        <v>9</v>
      </c>
      <c r="B431" s="9" t="str">
        <f>IFERROR(__xludf.DUMMYFUNCTION("""COMPUTED_VALUE"""),"郭O聲")</f>
        <v>郭O聲</v>
      </c>
      <c r="C431" s="9" t="str">
        <f>IFERROR(__xludf.DUMMYFUNCTION("""COMPUTED_VALUE"""),"gu0*****78@gmail.com")</f>
        <v>gu0*****78@gmail.com</v>
      </c>
      <c r="D431" s="9" t="str">
        <f>IFERROR(__xludf.DUMMYFUNCTION("""COMPUTED_VALUE"""),"新北市私立竹林高級中學")</f>
        <v>新北市私立竹林高級中學</v>
      </c>
      <c r="E431" s="9" t="str">
        <f>IFERROR(__xludf.DUMMYFUNCTION("""COMPUTED_VALUE"""),"普通科")</f>
        <v>普通科</v>
      </c>
      <c r="F431" s="9" t="str">
        <f>IFERROR(__xludf.DUMMYFUNCTION("""COMPUTED_VALUE"""),"三年級")</f>
        <v>三年級</v>
      </c>
      <c r="G431" s="10" t="str">
        <f>IFERROR(__xludf.DUMMYFUNCTION("""COMPUTED_VALUE"""),"獎狀")</f>
        <v>獎狀</v>
      </c>
      <c r="H431" s="9"/>
    </row>
    <row r="432">
      <c r="A432" s="5" t="s">
        <v>9</v>
      </c>
      <c r="B432" s="9" t="str">
        <f>IFERROR(__xludf.DUMMYFUNCTION("""COMPUTED_VALUE"""),"張O頤")</f>
        <v>張O頤</v>
      </c>
      <c r="C432" s="9" t="str">
        <f>IFERROR(__xludf.DUMMYFUNCTION("""COMPUTED_VALUE"""),"210*****lsh.ntpc.edu.tw")</f>
        <v>210*****lsh.ntpc.edu.tw</v>
      </c>
      <c r="D432" s="9" t="str">
        <f>IFERROR(__xludf.DUMMYFUNCTION("""COMPUTED_VALUE"""),"新北市私立竹林高級中學")</f>
        <v>新北市私立竹林高級中學</v>
      </c>
      <c r="E432" s="9" t="str">
        <f>IFERROR(__xludf.DUMMYFUNCTION("""COMPUTED_VALUE"""),"普通科")</f>
        <v>普通科</v>
      </c>
      <c r="F432" s="9" t="str">
        <f>IFERROR(__xludf.DUMMYFUNCTION("""COMPUTED_VALUE"""),"三年級")</f>
        <v>三年級</v>
      </c>
      <c r="G432" s="10" t="str">
        <f>IFERROR(__xludf.DUMMYFUNCTION("""COMPUTED_VALUE"""),"★商品卡$1000")</f>
        <v>★商品卡$1000</v>
      </c>
      <c r="H432" s="9"/>
    </row>
    <row r="433">
      <c r="A433" s="5" t="s">
        <v>9</v>
      </c>
      <c r="B433" s="9" t="str">
        <f>IFERROR(__xludf.DUMMYFUNCTION("""COMPUTED_VALUE"""),"曾O甯")</f>
        <v>曾O甯</v>
      </c>
      <c r="C433" s="9" t="str">
        <f>IFERROR(__xludf.DUMMYFUNCTION("""COMPUTED_VALUE"""),"210*****lsh.ntpc.edu.tw")</f>
        <v>210*****lsh.ntpc.edu.tw</v>
      </c>
      <c r="D433" s="9" t="str">
        <f>IFERROR(__xludf.DUMMYFUNCTION("""COMPUTED_VALUE"""),"新北市私立竹林高級中學")</f>
        <v>新北市私立竹林高級中學</v>
      </c>
      <c r="E433" s="9" t="str">
        <f>IFERROR(__xludf.DUMMYFUNCTION("""COMPUTED_VALUE"""),"普通科")</f>
        <v>普通科</v>
      </c>
      <c r="F433" s="9" t="str">
        <f>IFERROR(__xludf.DUMMYFUNCTION("""COMPUTED_VALUE"""),"三年級")</f>
        <v>三年級</v>
      </c>
      <c r="G433" s="10" t="str">
        <f>IFERROR(__xludf.DUMMYFUNCTION("""COMPUTED_VALUE"""),"獎狀")</f>
        <v>獎狀</v>
      </c>
      <c r="H433" s="9"/>
    </row>
    <row r="434">
      <c r="A434" s="5" t="s">
        <v>9</v>
      </c>
      <c r="B434" s="9" t="str">
        <f>IFERROR(__xludf.DUMMYFUNCTION("""COMPUTED_VALUE"""),"曹O鋒")</f>
        <v>曹O鋒</v>
      </c>
      <c r="C434" s="9" t="str">
        <f>IFERROR(__xludf.DUMMYFUNCTION("""COMPUTED_VALUE"""),"210*****lsh.ntpc.edu.tw")</f>
        <v>210*****lsh.ntpc.edu.tw</v>
      </c>
      <c r="D434" s="9" t="str">
        <f>IFERROR(__xludf.DUMMYFUNCTION("""COMPUTED_VALUE"""),"新北市私立竹林高級中學")</f>
        <v>新北市私立竹林高級中學</v>
      </c>
      <c r="E434" s="9" t="str">
        <f>IFERROR(__xludf.DUMMYFUNCTION("""COMPUTED_VALUE"""),"普通科")</f>
        <v>普通科</v>
      </c>
      <c r="F434" s="9" t="str">
        <f>IFERROR(__xludf.DUMMYFUNCTION("""COMPUTED_VALUE"""),"三年級")</f>
        <v>三年級</v>
      </c>
      <c r="G434" s="10" t="str">
        <f>IFERROR(__xludf.DUMMYFUNCTION("""COMPUTED_VALUE"""),"獎狀")</f>
        <v>獎狀</v>
      </c>
      <c r="H434" s="9"/>
    </row>
    <row r="435">
      <c r="A435" s="5" t="s">
        <v>9</v>
      </c>
      <c r="B435" s="9" t="str">
        <f>IFERROR(__xludf.DUMMYFUNCTION("""COMPUTED_VALUE"""),"黃O鎧")</f>
        <v>黃O鎧</v>
      </c>
      <c r="C435" s="9" t="str">
        <f>IFERROR(__xludf.DUMMYFUNCTION("""COMPUTED_VALUE"""),"210*****lsh.ntpc.edu.tw")</f>
        <v>210*****lsh.ntpc.edu.tw</v>
      </c>
      <c r="D435" s="9" t="str">
        <f>IFERROR(__xludf.DUMMYFUNCTION("""COMPUTED_VALUE"""),"新北市私立竹林高級中學")</f>
        <v>新北市私立竹林高級中學</v>
      </c>
      <c r="E435" s="9" t="str">
        <f>IFERROR(__xludf.DUMMYFUNCTION("""COMPUTED_VALUE"""),"普通科")</f>
        <v>普通科</v>
      </c>
      <c r="F435" s="9" t="str">
        <f>IFERROR(__xludf.DUMMYFUNCTION("""COMPUTED_VALUE"""),"三年級")</f>
        <v>三年級</v>
      </c>
      <c r="G435" s="10" t="str">
        <f>IFERROR(__xludf.DUMMYFUNCTION("""COMPUTED_VALUE"""),"獎狀")</f>
        <v>獎狀</v>
      </c>
      <c r="H435" s="9"/>
    </row>
    <row r="436">
      <c r="A436" s="5" t="s">
        <v>9</v>
      </c>
      <c r="B436" s="9" t="str">
        <f>IFERROR(__xludf.DUMMYFUNCTION("""COMPUTED_VALUE"""),"游O誼")</f>
        <v>游O誼</v>
      </c>
      <c r="C436" s="9" t="str">
        <f>IFERROR(__xludf.DUMMYFUNCTION("""COMPUTED_VALUE"""),"210*****lsh.ntpc.edu.tw")</f>
        <v>210*****lsh.ntpc.edu.tw</v>
      </c>
      <c r="D436" s="9" t="str">
        <f>IFERROR(__xludf.DUMMYFUNCTION("""COMPUTED_VALUE"""),"新北市私立竹林高級中學")</f>
        <v>新北市私立竹林高級中學</v>
      </c>
      <c r="E436" s="9" t="str">
        <f>IFERROR(__xludf.DUMMYFUNCTION("""COMPUTED_VALUE"""),"普通科")</f>
        <v>普通科</v>
      </c>
      <c r="F436" s="9" t="str">
        <f>IFERROR(__xludf.DUMMYFUNCTION("""COMPUTED_VALUE"""),"三年級")</f>
        <v>三年級</v>
      </c>
      <c r="G436" s="10" t="str">
        <f>IFERROR(__xludf.DUMMYFUNCTION("""COMPUTED_VALUE"""),"獎狀")</f>
        <v>獎狀</v>
      </c>
      <c r="H436" s="9"/>
    </row>
    <row r="437">
      <c r="A437" s="5" t="s">
        <v>9</v>
      </c>
      <c r="B437" s="9" t="str">
        <f>IFERROR(__xludf.DUMMYFUNCTION("""COMPUTED_VALUE"""),"侯O仁")</f>
        <v>侯O仁</v>
      </c>
      <c r="C437" s="9" t="str">
        <f>IFERROR(__xludf.DUMMYFUNCTION("""COMPUTED_VALUE"""),"210*****lsh.ntpc.edu.tw")</f>
        <v>210*****lsh.ntpc.edu.tw</v>
      </c>
      <c r="D437" s="9" t="str">
        <f>IFERROR(__xludf.DUMMYFUNCTION("""COMPUTED_VALUE"""),"新北市私立竹林高級中學")</f>
        <v>新北市私立竹林高級中學</v>
      </c>
      <c r="E437" s="9" t="str">
        <f>IFERROR(__xludf.DUMMYFUNCTION("""COMPUTED_VALUE"""),"普通科")</f>
        <v>普通科</v>
      </c>
      <c r="F437" s="9" t="str">
        <f>IFERROR(__xludf.DUMMYFUNCTION("""COMPUTED_VALUE"""),"三年級")</f>
        <v>三年級</v>
      </c>
      <c r="G437" s="10" t="str">
        <f>IFERROR(__xludf.DUMMYFUNCTION("""COMPUTED_VALUE"""),"獎狀")</f>
        <v>獎狀</v>
      </c>
      <c r="H437" s="9"/>
    </row>
    <row r="438">
      <c r="A438" s="5" t="s">
        <v>9</v>
      </c>
      <c r="B438" s="9" t="str">
        <f>IFERROR(__xludf.DUMMYFUNCTION("""COMPUTED_VALUE"""),"吳O瑄")</f>
        <v>吳O瑄</v>
      </c>
      <c r="C438" s="9" t="str">
        <f>IFERROR(__xludf.DUMMYFUNCTION("""COMPUTED_VALUE"""),"210*****lsh.ntpc.edu.tw")</f>
        <v>210*****lsh.ntpc.edu.tw</v>
      </c>
      <c r="D438" s="9" t="str">
        <f>IFERROR(__xludf.DUMMYFUNCTION("""COMPUTED_VALUE"""),"新北市私立竹林高級中學")</f>
        <v>新北市私立竹林高級中學</v>
      </c>
      <c r="E438" s="9" t="str">
        <f>IFERROR(__xludf.DUMMYFUNCTION("""COMPUTED_VALUE"""),"普通科")</f>
        <v>普通科</v>
      </c>
      <c r="F438" s="9" t="str">
        <f>IFERROR(__xludf.DUMMYFUNCTION("""COMPUTED_VALUE"""),"三年級")</f>
        <v>三年級</v>
      </c>
      <c r="G438" s="10" t="str">
        <f>IFERROR(__xludf.DUMMYFUNCTION("""COMPUTED_VALUE"""),"獎狀")</f>
        <v>獎狀</v>
      </c>
      <c r="H438" s="9"/>
    </row>
    <row r="439">
      <c r="A439" s="5" t="s">
        <v>9</v>
      </c>
      <c r="B439" s="9" t="str">
        <f>IFERROR(__xludf.DUMMYFUNCTION("""COMPUTED_VALUE"""),"李O萱")</f>
        <v>李O萱</v>
      </c>
      <c r="C439" s="9" t="str">
        <f>IFERROR(__xludf.DUMMYFUNCTION("""COMPUTED_VALUE"""),"210*****lsh.ntpc.edu.tw")</f>
        <v>210*****lsh.ntpc.edu.tw</v>
      </c>
      <c r="D439" s="9" t="str">
        <f>IFERROR(__xludf.DUMMYFUNCTION("""COMPUTED_VALUE"""),"新北市私立竹林高級中學")</f>
        <v>新北市私立竹林高級中學</v>
      </c>
      <c r="E439" s="9" t="str">
        <f>IFERROR(__xludf.DUMMYFUNCTION("""COMPUTED_VALUE"""),"普通科")</f>
        <v>普通科</v>
      </c>
      <c r="F439" s="9" t="str">
        <f>IFERROR(__xludf.DUMMYFUNCTION("""COMPUTED_VALUE"""),"三年級")</f>
        <v>三年級</v>
      </c>
      <c r="G439" s="10" t="str">
        <f>IFERROR(__xludf.DUMMYFUNCTION("""COMPUTED_VALUE"""),"獎狀")</f>
        <v>獎狀</v>
      </c>
      <c r="H439" s="9"/>
    </row>
    <row r="440">
      <c r="A440" s="5" t="s">
        <v>9</v>
      </c>
      <c r="B440" s="9" t="str">
        <f>IFERROR(__xludf.DUMMYFUNCTION("""COMPUTED_VALUE"""),"蕭O文")</f>
        <v>蕭O文</v>
      </c>
      <c r="C440" s="9" t="str">
        <f>IFERROR(__xludf.DUMMYFUNCTION("""COMPUTED_VALUE"""),"210*****lsh.ntpc.edu.tw")</f>
        <v>210*****lsh.ntpc.edu.tw</v>
      </c>
      <c r="D440" s="9" t="str">
        <f>IFERROR(__xludf.DUMMYFUNCTION("""COMPUTED_VALUE"""),"新北市私立竹林高級中學")</f>
        <v>新北市私立竹林高級中學</v>
      </c>
      <c r="E440" s="9" t="str">
        <f>IFERROR(__xludf.DUMMYFUNCTION("""COMPUTED_VALUE"""),"普通科")</f>
        <v>普通科</v>
      </c>
      <c r="F440" s="9" t="str">
        <f>IFERROR(__xludf.DUMMYFUNCTION("""COMPUTED_VALUE"""),"三年級")</f>
        <v>三年級</v>
      </c>
      <c r="G440" s="10" t="str">
        <f>IFERROR(__xludf.DUMMYFUNCTION("""COMPUTED_VALUE"""),"獎狀")</f>
        <v>獎狀</v>
      </c>
      <c r="H440" s="9"/>
    </row>
    <row r="441">
      <c r="A441" s="5" t="s">
        <v>9</v>
      </c>
      <c r="B441" s="9" t="str">
        <f>IFERROR(__xludf.DUMMYFUNCTION("""COMPUTED_VALUE"""),"陳O妤")</f>
        <v>陳O妤</v>
      </c>
      <c r="C441" s="9" t="str">
        <f>IFERROR(__xludf.DUMMYFUNCTION("""COMPUTED_VALUE"""),"210*****lsh.ntpc.edu.tw")</f>
        <v>210*****lsh.ntpc.edu.tw</v>
      </c>
      <c r="D441" s="9" t="str">
        <f>IFERROR(__xludf.DUMMYFUNCTION("""COMPUTED_VALUE"""),"新北市私立竹林高級中學")</f>
        <v>新北市私立竹林高級中學</v>
      </c>
      <c r="E441" s="9" t="str">
        <f>IFERROR(__xludf.DUMMYFUNCTION("""COMPUTED_VALUE"""),"普通科")</f>
        <v>普通科</v>
      </c>
      <c r="F441" s="9" t="str">
        <f>IFERROR(__xludf.DUMMYFUNCTION("""COMPUTED_VALUE"""),"三年級")</f>
        <v>三年級</v>
      </c>
      <c r="G441" s="10" t="str">
        <f>IFERROR(__xludf.DUMMYFUNCTION("""COMPUTED_VALUE"""),"獎狀")</f>
        <v>獎狀</v>
      </c>
      <c r="H441" s="9"/>
    </row>
    <row r="442">
      <c r="A442" s="5" t="s">
        <v>9</v>
      </c>
      <c r="B442" s="9" t="str">
        <f>IFERROR(__xludf.DUMMYFUNCTION("""COMPUTED_VALUE"""),"林O妍")</f>
        <v>林O妍</v>
      </c>
      <c r="C442" s="9" t="str">
        <f>IFERROR(__xludf.DUMMYFUNCTION("""COMPUTED_VALUE"""),"210*****lsh.ntpc.edu.tw")</f>
        <v>210*****lsh.ntpc.edu.tw</v>
      </c>
      <c r="D442" s="9" t="str">
        <f>IFERROR(__xludf.DUMMYFUNCTION("""COMPUTED_VALUE"""),"新北市私立竹林高級中學")</f>
        <v>新北市私立竹林高級中學</v>
      </c>
      <c r="E442" s="9" t="str">
        <f>IFERROR(__xludf.DUMMYFUNCTION("""COMPUTED_VALUE"""),"普通科")</f>
        <v>普通科</v>
      </c>
      <c r="F442" s="9" t="str">
        <f>IFERROR(__xludf.DUMMYFUNCTION("""COMPUTED_VALUE"""),"三年級")</f>
        <v>三年級</v>
      </c>
      <c r="G442" s="10" t="str">
        <f>IFERROR(__xludf.DUMMYFUNCTION("""COMPUTED_VALUE"""),"獎狀")</f>
        <v>獎狀</v>
      </c>
      <c r="H442" s="9"/>
    </row>
    <row r="443">
      <c r="A443" s="5" t="s">
        <v>9</v>
      </c>
      <c r="B443" s="9" t="str">
        <f>IFERROR(__xludf.DUMMYFUNCTION("""COMPUTED_VALUE"""),"張O甯")</f>
        <v>張O甯</v>
      </c>
      <c r="C443" s="9" t="str">
        <f>IFERROR(__xludf.DUMMYFUNCTION("""COMPUTED_VALUE"""),"210*****lsh.ntpc.edu.tw")</f>
        <v>210*****lsh.ntpc.edu.tw</v>
      </c>
      <c r="D443" s="9" t="str">
        <f>IFERROR(__xludf.DUMMYFUNCTION("""COMPUTED_VALUE"""),"新北市私立竹林高級中學")</f>
        <v>新北市私立竹林高級中學</v>
      </c>
      <c r="E443" s="9" t="str">
        <f>IFERROR(__xludf.DUMMYFUNCTION("""COMPUTED_VALUE"""),"普通科")</f>
        <v>普通科</v>
      </c>
      <c r="F443" s="9" t="str">
        <f>IFERROR(__xludf.DUMMYFUNCTION("""COMPUTED_VALUE"""),"三年級")</f>
        <v>三年級</v>
      </c>
      <c r="G443" s="10" t="str">
        <f>IFERROR(__xludf.DUMMYFUNCTION("""COMPUTED_VALUE"""),"獎狀")</f>
        <v>獎狀</v>
      </c>
      <c r="H443" s="9"/>
    </row>
    <row r="444">
      <c r="A444" s="5" t="s">
        <v>9</v>
      </c>
      <c r="B444" s="9" t="str">
        <f>IFERROR(__xludf.DUMMYFUNCTION("""COMPUTED_VALUE"""),"莊O祐")</f>
        <v>莊O祐</v>
      </c>
      <c r="C444" s="9" t="str">
        <f>IFERROR(__xludf.DUMMYFUNCTION("""COMPUTED_VALUE"""),"210*****lsh.ntpc.edu.tw")</f>
        <v>210*****lsh.ntpc.edu.tw</v>
      </c>
      <c r="D444" s="9" t="str">
        <f>IFERROR(__xludf.DUMMYFUNCTION("""COMPUTED_VALUE"""),"新北市私立竹林高級中學")</f>
        <v>新北市私立竹林高級中學</v>
      </c>
      <c r="E444" s="9" t="str">
        <f>IFERROR(__xludf.DUMMYFUNCTION("""COMPUTED_VALUE"""),"普通科")</f>
        <v>普通科</v>
      </c>
      <c r="F444" s="9" t="str">
        <f>IFERROR(__xludf.DUMMYFUNCTION("""COMPUTED_VALUE"""),"三年級")</f>
        <v>三年級</v>
      </c>
      <c r="G444" s="10" t="str">
        <f>IFERROR(__xludf.DUMMYFUNCTION("""COMPUTED_VALUE"""),"獎狀")</f>
        <v>獎狀</v>
      </c>
      <c r="H444" s="9"/>
    </row>
    <row r="445">
      <c r="A445" s="5" t="s">
        <v>9</v>
      </c>
      <c r="B445" s="9" t="str">
        <f>IFERROR(__xludf.DUMMYFUNCTION("""COMPUTED_VALUE"""),"徐O妤")</f>
        <v>徐O妤</v>
      </c>
      <c r="C445" s="9" t="str">
        <f>IFERROR(__xludf.DUMMYFUNCTION("""COMPUTED_VALUE"""),"210*****lsh.ntpc.edu.tw")</f>
        <v>210*****lsh.ntpc.edu.tw</v>
      </c>
      <c r="D445" s="9" t="str">
        <f>IFERROR(__xludf.DUMMYFUNCTION("""COMPUTED_VALUE"""),"新北市私立竹林高級中學")</f>
        <v>新北市私立竹林高級中學</v>
      </c>
      <c r="E445" s="9" t="str">
        <f>IFERROR(__xludf.DUMMYFUNCTION("""COMPUTED_VALUE"""),"普通科")</f>
        <v>普通科</v>
      </c>
      <c r="F445" s="9" t="str">
        <f>IFERROR(__xludf.DUMMYFUNCTION("""COMPUTED_VALUE"""),"三年級")</f>
        <v>三年級</v>
      </c>
      <c r="G445" s="10" t="str">
        <f>IFERROR(__xludf.DUMMYFUNCTION("""COMPUTED_VALUE"""),"獎狀")</f>
        <v>獎狀</v>
      </c>
      <c r="H445" s="9"/>
    </row>
    <row r="446">
      <c r="A446" s="5" t="s">
        <v>9</v>
      </c>
      <c r="B446" s="9" t="str">
        <f>IFERROR(__xludf.DUMMYFUNCTION("""COMPUTED_VALUE"""),"商O禎")</f>
        <v>商O禎</v>
      </c>
      <c r="C446" s="9" t="str">
        <f>IFERROR(__xludf.DUMMYFUNCTION("""COMPUTED_VALUE"""),"210*****lsh.ntpc.edu.tw")</f>
        <v>210*****lsh.ntpc.edu.tw</v>
      </c>
      <c r="D446" s="9" t="str">
        <f>IFERROR(__xludf.DUMMYFUNCTION("""COMPUTED_VALUE"""),"新北市私立竹林高級中學")</f>
        <v>新北市私立竹林高級中學</v>
      </c>
      <c r="E446" s="9" t="str">
        <f>IFERROR(__xludf.DUMMYFUNCTION("""COMPUTED_VALUE"""),"普通科")</f>
        <v>普通科</v>
      </c>
      <c r="F446" s="9" t="str">
        <f>IFERROR(__xludf.DUMMYFUNCTION("""COMPUTED_VALUE"""),"三年級")</f>
        <v>三年級</v>
      </c>
      <c r="G446" s="10" t="str">
        <f>IFERROR(__xludf.DUMMYFUNCTION("""COMPUTED_VALUE"""),"獎狀")</f>
        <v>獎狀</v>
      </c>
      <c r="H446" s="9"/>
    </row>
    <row r="447">
      <c r="A447" s="5" t="s">
        <v>9</v>
      </c>
      <c r="B447" s="9" t="str">
        <f>IFERROR(__xludf.DUMMYFUNCTION("""COMPUTED_VALUE"""),"黃O鈞")</f>
        <v>黃O鈞</v>
      </c>
      <c r="C447" s="9" t="str">
        <f>IFERROR(__xludf.DUMMYFUNCTION("""COMPUTED_VALUE"""),"210*****lsh.ntpc.edu.tw")</f>
        <v>210*****lsh.ntpc.edu.tw</v>
      </c>
      <c r="D447" s="9" t="str">
        <f>IFERROR(__xludf.DUMMYFUNCTION("""COMPUTED_VALUE"""),"新北市私立竹林高級中學")</f>
        <v>新北市私立竹林高級中學</v>
      </c>
      <c r="E447" s="9" t="str">
        <f>IFERROR(__xludf.DUMMYFUNCTION("""COMPUTED_VALUE"""),"普通科")</f>
        <v>普通科</v>
      </c>
      <c r="F447" s="9" t="str">
        <f>IFERROR(__xludf.DUMMYFUNCTION("""COMPUTED_VALUE"""),"三年級")</f>
        <v>三年級</v>
      </c>
      <c r="G447" s="10" t="str">
        <f>IFERROR(__xludf.DUMMYFUNCTION("""COMPUTED_VALUE"""),"獎狀")</f>
        <v>獎狀</v>
      </c>
      <c r="H447" s="9"/>
    </row>
    <row r="448">
      <c r="A448" s="5" t="s">
        <v>9</v>
      </c>
      <c r="B448" s="9" t="str">
        <f>IFERROR(__xludf.DUMMYFUNCTION("""COMPUTED_VALUE"""),"宋O妤")</f>
        <v>宋O妤</v>
      </c>
      <c r="C448" s="9" t="str">
        <f>IFERROR(__xludf.DUMMYFUNCTION("""COMPUTED_VALUE"""),"210*****lsh.ntpc.edu.tw")</f>
        <v>210*****lsh.ntpc.edu.tw</v>
      </c>
      <c r="D448" s="9" t="str">
        <f>IFERROR(__xludf.DUMMYFUNCTION("""COMPUTED_VALUE"""),"新北市私立竹林高級中學")</f>
        <v>新北市私立竹林高級中學</v>
      </c>
      <c r="E448" s="9" t="str">
        <f>IFERROR(__xludf.DUMMYFUNCTION("""COMPUTED_VALUE"""),"普通科")</f>
        <v>普通科</v>
      </c>
      <c r="F448" s="9" t="str">
        <f>IFERROR(__xludf.DUMMYFUNCTION("""COMPUTED_VALUE"""),"三年級")</f>
        <v>三年級</v>
      </c>
      <c r="G448" s="10" t="str">
        <f>IFERROR(__xludf.DUMMYFUNCTION("""COMPUTED_VALUE"""),"獎狀")</f>
        <v>獎狀</v>
      </c>
      <c r="H448" s="9"/>
    </row>
    <row r="449">
      <c r="A449" s="5" t="s">
        <v>9</v>
      </c>
      <c r="B449" s="9" t="str">
        <f>IFERROR(__xludf.DUMMYFUNCTION("""COMPUTED_VALUE"""),"王O嚴")</f>
        <v>王O嚴</v>
      </c>
      <c r="C449" s="9" t="str">
        <f>IFERROR(__xludf.DUMMYFUNCTION("""COMPUTED_VALUE"""),"210*****lsh.ntpc.edu.tw")</f>
        <v>210*****lsh.ntpc.edu.tw</v>
      </c>
      <c r="D449" s="9" t="str">
        <f>IFERROR(__xludf.DUMMYFUNCTION("""COMPUTED_VALUE"""),"新北市私立竹林高級中學")</f>
        <v>新北市私立竹林高級中學</v>
      </c>
      <c r="E449" s="9" t="str">
        <f>IFERROR(__xludf.DUMMYFUNCTION("""COMPUTED_VALUE"""),"普通科")</f>
        <v>普通科</v>
      </c>
      <c r="F449" s="9" t="str">
        <f>IFERROR(__xludf.DUMMYFUNCTION("""COMPUTED_VALUE"""),"三年級")</f>
        <v>三年級</v>
      </c>
      <c r="G449" s="10" t="str">
        <f>IFERROR(__xludf.DUMMYFUNCTION("""COMPUTED_VALUE"""),"獎狀")</f>
        <v>獎狀</v>
      </c>
      <c r="H449" s="9"/>
    </row>
    <row r="450">
      <c r="A450" s="5" t="s">
        <v>9</v>
      </c>
      <c r="B450" s="9" t="str">
        <f>IFERROR(__xludf.DUMMYFUNCTION("""COMPUTED_VALUE"""),"廖O翔")</f>
        <v>廖O翔</v>
      </c>
      <c r="C450" s="9" t="str">
        <f>IFERROR(__xludf.DUMMYFUNCTION("""COMPUTED_VALUE"""),"210*****lsh.ntpc.edu.tw")</f>
        <v>210*****lsh.ntpc.edu.tw</v>
      </c>
      <c r="D450" s="9" t="str">
        <f>IFERROR(__xludf.DUMMYFUNCTION("""COMPUTED_VALUE"""),"新北市私立竹林高級中學")</f>
        <v>新北市私立竹林高級中學</v>
      </c>
      <c r="E450" s="9" t="str">
        <f>IFERROR(__xludf.DUMMYFUNCTION("""COMPUTED_VALUE"""),"普通科")</f>
        <v>普通科</v>
      </c>
      <c r="F450" s="9" t="str">
        <f>IFERROR(__xludf.DUMMYFUNCTION("""COMPUTED_VALUE"""),"三年級")</f>
        <v>三年級</v>
      </c>
      <c r="G450" s="10" t="str">
        <f>IFERROR(__xludf.DUMMYFUNCTION("""COMPUTED_VALUE"""),"獎狀")</f>
        <v>獎狀</v>
      </c>
      <c r="H450" s="9"/>
    </row>
    <row r="451">
      <c r="A451" s="5" t="s">
        <v>9</v>
      </c>
      <c r="B451" s="9" t="str">
        <f>IFERROR(__xludf.DUMMYFUNCTION("""COMPUTED_VALUE"""),"江O欣")</f>
        <v>江O欣</v>
      </c>
      <c r="C451" s="9" t="str">
        <f>IFERROR(__xludf.DUMMYFUNCTION("""COMPUTED_VALUE"""),"210*****lsh.ntpc.edu.tw")</f>
        <v>210*****lsh.ntpc.edu.tw</v>
      </c>
      <c r="D451" s="9" t="str">
        <f>IFERROR(__xludf.DUMMYFUNCTION("""COMPUTED_VALUE"""),"新北市私立竹林高級中學")</f>
        <v>新北市私立竹林高級中學</v>
      </c>
      <c r="E451" s="9" t="str">
        <f>IFERROR(__xludf.DUMMYFUNCTION("""COMPUTED_VALUE"""),"普通科")</f>
        <v>普通科</v>
      </c>
      <c r="F451" s="9" t="str">
        <f>IFERROR(__xludf.DUMMYFUNCTION("""COMPUTED_VALUE"""),"三年級")</f>
        <v>三年級</v>
      </c>
      <c r="G451" s="10" t="str">
        <f>IFERROR(__xludf.DUMMYFUNCTION("""COMPUTED_VALUE"""),"獎狀")</f>
        <v>獎狀</v>
      </c>
      <c r="H451" s="9"/>
    </row>
    <row r="452">
      <c r="A452" s="5" t="s">
        <v>9</v>
      </c>
      <c r="B452" s="9" t="str">
        <f>IFERROR(__xludf.DUMMYFUNCTION("""COMPUTED_VALUE"""),"鄭O喆")</f>
        <v>鄭O喆</v>
      </c>
      <c r="C452" s="9" t="str">
        <f>IFERROR(__xludf.DUMMYFUNCTION("""COMPUTED_VALUE"""),"210*****lsh.ntpc.edu.tw")</f>
        <v>210*****lsh.ntpc.edu.tw</v>
      </c>
      <c r="D452" s="9" t="str">
        <f>IFERROR(__xludf.DUMMYFUNCTION("""COMPUTED_VALUE"""),"新北市私立竹林高級中學")</f>
        <v>新北市私立竹林高級中學</v>
      </c>
      <c r="E452" s="9" t="str">
        <f>IFERROR(__xludf.DUMMYFUNCTION("""COMPUTED_VALUE"""),"普通科")</f>
        <v>普通科</v>
      </c>
      <c r="F452" s="9" t="str">
        <f>IFERROR(__xludf.DUMMYFUNCTION("""COMPUTED_VALUE"""),"三年級")</f>
        <v>三年級</v>
      </c>
      <c r="G452" s="10" t="str">
        <f>IFERROR(__xludf.DUMMYFUNCTION("""COMPUTED_VALUE"""),"獎狀")</f>
        <v>獎狀</v>
      </c>
      <c r="H452" s="9"/>
    </row>
    <row r="453">
      <c r="A453" s="5" t="s">
        <v>9</v>
      </c>
      <c r="B453" s="9" t="str">
        <f>IFERROR(__xludf.DUMMYFUNCTION("""COMPUTED_VALUE"""),"謝O桓")</f>
        <v>謝O桓</v>
      </c>
      <c r="C453" s="9" t="str">
        <f>IFERROR(__xludf.DUMMYFUNCTION("""COMPUTED_VALUE"""),"210*****lsh.ntpc.edu.tw")</f>
        <v>210*****lsh.ntpc.edu.tw</v>
      </c>
      <c r="D453" s="9" t="str">
        <f>IFERROR(__xludf.DUMMYFUNCTION("""COMPUTED_VALUE"""),"新北市私立竹林高級中學")</f>
        <v>新北市私立竹林高級中學</v>
      </c>
      <c r="E453" s="9" t="str">
        <f>IFERROR(__xludf.DUMMYFUNCTION("""COMPUTED_VALUE"""),"普通科")</f>
        <v>普通科</v>
      </c>
      <c r="F453" s="9" t="str">
        <f>IFERROR(__xludf.DUMMYFUNCTION("""COMPUTED_VALUE"""),"三年級")</f>
        <v>三年級</v>
      </c>
      <c r="G453" s="10" t="str">
        <f>IFERROR(__xludf.DUMMYFUNCTION("""COMPUTED_VALUE"""),"■商品卡$200")</f>
        <v>■商品卡$200</v>
      </c>
      <c r="H453" s="9"/>
    </row>
    <row r="454">
      <c r="A454" s="5" t="s">
        <v>9</v>
      </c>
      <c r="B454" s="9" t="str">
        <f>IFERROR(__xludf.DUMMYFUNCTION("""COMPUTED_VALUE"""),"張O云")</f>
        <v>張O云</v>
      </c>
      <c r="C454" s="9" t="str">
        <f>IFERROR(__xludf.DUMMYFUNCTION("""COMPUTED_VALUE"""),"210*****lsh.ntpc.edu.tw")</f>
        <v>210*****lsh.ntpc.edu.tw</v>
      </c>
      <c r="D454" s="9" t="str">
        <f>IFERROR(__xludf.DUMMYFUNCTION("""COMPUTED_VALUE"""),"新北市私立竹林高級中學")</f>
        <v>新北市私立竹林高級中學</v>
      </c>
      <c r="E454" s="9" t="str">
        <f>IFERROR(__xludf.DUMMYFUNCTION("""COMPUTED_VALUE"""),"普通科")</f>
        <v>普通科</v>
      </c>
      <c r="F454" s="9" t="str">
        <f>IFERROR(__xludf.DUMMYFUNCTION("""COMPUTED_VALUE"""),"三年級")</f>
        <v>三年級</v>
      </c>
      <c r="G454" s="10" t="str">
        <f>IFERROR(__xludf.DUMMYFUNCTION("""COMPUTED_VALUE"""),"獎狀")</f>
        <v>獎狀</v>
      </c>
      <c r="H454" s="11"/>
    </row>
    <row r="455">
      <c r="A455" s="5" t="s">
        <v>9</v>
      </c>
      <c r="B455" s="9" t="str">
        <f>IFERROR(__xludf.DUMMYFUNCTION("""COMPUTED_VALUE"""),"陳O熙")</f>
        <v>陳O熙</v>
      </c>
      <c r="C455" s="9" t="str">
        <f>IFERROR(__xludf.DUMMYFUNCTION("""COMPUTED_VALUE"""),"ysc*****gmail.com")</f>
        <v>ysc*****gmail.com</v>
      </c>
      <c r="D455" s="9" t="str">
        <f>IFERROR(__xludf.DUMMYFUNCTION("""COMPUTED_VALUE"""),"南山學校財團法人新北市南山高級中學")</f>
        <v>南山學校財團法人新北市南山高級中學</v>
      </c>
      <c r="E455" s="9" t="str">
        <f>IFERROR(__xludf.DUMMYFUNCTION("""COMPUTED_VALUE"""),"普通科")</f>
        <v>普通科</v>
      </c>
      <c r="F455" s="9" t="str">
        <f>IFERROR(__xludf.DUMMYFUNCTION("""COMPUTED_VALUE"""),"一年級")</f>
        <v>一年級</v>
      </c>
      <c r="G455" s="10" t="str">
        <f>IFERROR(__xludf.DUMMYFUNCTION("""COMPUTED_VALUE"""),"獎狀")</f>
        <v>獎狀</v>
      </c>
      <c r="H455" s="11"/>
    </row>
    <row r="456">
      <c r="A456" s="5" t="s">
        <v>9</v>
      </c>
      <c r="B456" s="9" t="str">
        <f>IFERROR(__xludf.DUMMYFUNCTION("""COMPUTED_VALUE"""),"李O姸")</f>
        <v>李O姸</v>
      </c>
      <c r="C456" s="9" t="str">
        <f>IFERROR(__xludf.DUMMYFUNCTION("""COMPUTED_VALUE"""),"bel*****621@apps.ntpc.edu.tw")</f>
        <v>bel*****621@apps.ntpc.edu.tw</v>
      </c>
      <c r="D456" s="9" t="str">
        <f>IFERROR(__xludf.DUMMYFUNCTION("""COMPUTED_VALUE"""),"新北市立清水高級中學")</f>
        <v>新北市立清水高級中學</v>
      </c>
      <c r="E456" s="9" t="str">
        <f>IFERROR(__xludf.DUMMYFUNCTION("""COMPUTED_VALUE"""),"普通科")</f>
        <v>普通科</v>
      </c>
      <c r="F456" s="9" t="str">
        <f>IFERROR(__xludf.DUMMYFUNCTION("""COMPUTED_VALUE"""),"二年級")</f>
        <v>二年級</v>
      </c>
      <c r="G456" s="10" t="str">
        <f>IFERROR(__xludf.DUMMYFUNCTION("""COMPUTED_VALUE"""),"獎狀")</f>
        <v>獎狀</v>
      </c>
      <c r="H456" s="9"/>
    </row>
    <row r="457">
      <c r="A457" s="5" t="s">
        <v>9</v>
      </c>
      <c r="B457" s="9" t="str">
        <f>IFERROR(__xludf.DUMMYFUNCTION("""COMPUTED_VALUE"""),"黃O云")</f>
        <v>黃O云</v>
      </c>
      <c r="C457" s="9" t="str">
        <f>IFERROR(__xludf.DUMMYFUNCTION("""COMPUTED_VALUE"""),"310*****dhs.ntpc.edu.tw")</f>
        <v>310*****dhs.ntpc.edu.tw</v>
      </c>
      <c r="D457" s="9" t="str">
        <f>IFERROR(__xludf.DUMMYFUNCTION("""COMPUTED_VALUE"""),"新北市立明德高級中學")</f>
        <v>新北市立明德高級中學</v>
      </c>
      <c r="E457" s="9" t="str">
        <f>IFERROR(__xludf.DUMMYFUNCTION("""COMPUTED_VALUE"""),"普通科")</f>
        <v>普通科</v>
      </c>
      <c r="F457" s="9" t="str">
        <f>IFERROR(__xludf.DUMMYFUNCTION("""COMPUTED_VALUE"""),"一年級")</f>
        <v>一年級</v>
      </c>
      <c r="G457" s="10" t="str">
        <f>IFERROR(__xludf.DUMMYFUNCTION("""COMPUTED_VALUE"""),"獎狀")</f>
        <v>獎狀</v>
      </c>
      <c r="H457" s="11"/>
    </row>
    <row r="458">
      <c r="A458" s="5" t="s">
        <v>9</v>
      </c>
      <c r="B458" s="9" t="str">
        <f>IFERROR(__xludf.DUMMYFUNCTION("""COMPUTED_VALUE"""),"吳O陞")</f>
        <v>吳O陞</v>
      </c>
      <c r="C458" s="9" t="str">
        <f>IFERROR(__xludf.DUMMYFUNCTION("""COMPUTED_VALUE"""),"kar*****wys@gmail.com")</f>
        <v>kar*****wys@gmail.com</v>
      </c>
      <c r="D458" s="9" t="str">
        <f>IFERROR(__xludf.DUMMYFUNCTION("""COMPUTED_VALUE"""),"新北市立明德高級中學")</f>
        <v>新北市立明德高級中學</v>
      </c>
      <c r="E458" s="9" t="str">
        <f>IFERROR(__xludf.DUMMYFUNCTION("""COMPUTED_VALUE"""),"普通科")</f>
        <v>普通科</v>
      </c>
      <c r="F458" s="9" t="str">
        <f>IFERROR(__xludf.DUMMYFUNCTION("""COMPUTED_VALUE"""),"一年級")</f>
        <v>一年級</v>
      </c>
      <c r="G458" s="10" t="str">
        <f>IFERROR(__xludf.DUMMYFUNCTION("""COMPUTED_VALUE"""),"獎狀")</f>
        <v>獎狀</v>
      </c>
      <c r="H458" s="11"/>
    </row>
    <row r="459">
      <c r="A459" s="5" t="s">
        <v>9</v>
      </c>
      <c r="B459" s="9" t="str">
        <f>IFERROR(__xludf.DUMMYFUNCTION("""COMPUTED_VALUE"""),"林O亨")</f>
        <v>林O亨</v>
      </c>
      <c r="C459" s="9" t="str">
        <f>IFERROR(__xludf.DUMMYFUNCTION("""COMPUTED_VALUE"""),"lin*****g885@gmail.com")</f>
        <v>lin*****g885@gmail.com</v>
      </c>
      <c r="D459" s="9" t="str">
        <f>IFERROR(__xludf.DUMMYFUNCTION("""COMPUTED_VALUE"""),"辭修學校財團法人新北市私立辭修高級中學")</f>
        <v>辭修學校財團法人新北市私立辭修高級中學</v>
      </c>
      <c r="E459" s="9" t="str">
        <f>IFERROR(__xludf.DUMMYFUNCTION("""COMPUTED_VALUE"""),"普通科")</f>
        <v>普通科</v>
      </c>
      <c r="F459" s="9" t="str">
        <f>IFERROR(__xludf.DUMMYFUNCTION("""COMPUTED_VALUE"""),"一年級")</f>
        <v>一年級</v>
      </c>
      <c r="G459" s="10" t="str">
        <f>IFERROR(__xludf.DUMMYFUNCTION("""COMPUTED_VALUE"""),"獎狀")</f>
        <v>獎狀</v>
      </c>
      <c r="H459" s="9"/>
    </row>
    <row r="460">
      <c r="A460" s="5" t="s">
        <v>9</v>
      </c>
      <c r="B460" s="9" t="str">
        <f>IFERROR(__xludf.DUMMYFUNCTION("""COMPUTED_VALUE"""),"謝O嶧")</f>
        <v>謝O嶧</v>
      </c>
      <c r="C460" s="9" t="str">
        <f>IFERROR(__xludf.DUMMYFUNCTION("""COMPUTED_VALUE"""),"310*****365.tsshs.ntpc.edu.tw")</f>
        <v>310*****365.tsshs.ntpc.edu.tw</v>
      </c>
      <c r="D460" s="9" t="str">
        <f>IFERROR(__xludf.DUMMYFUNCTION("""COMPUTED_VALUE"""),"辭修學校財團法人新北市私立辭修高級中學")</f>
        <v>辭修學校財團法人新北市私立辭修高級中學</v>
      </c>
      <c r="E460" s="9" t="str">
        <f>IFERROR(__xludf.DUMMYFUNCTION("""COMPUTED_VALUE"""),"普通科")</f>
        <v>普通科</v>
      </c>
      <c r="F460" s="9" t="str">
        <f>IFERROR(__xludf.DUMMYFUNCTION("""COMPUTED_VALUE"""),"一年級")</f>
        <v>一年級</v>
      </c>
      <c r="G460" s="10" t="str">
        <f>IFERROR(__xludf.DUMMYFUNCTION("""COMPUTED_VALUE"""),"獎狀")</f>
        <v>獎狀</v>
      </c>
      <c r="H460" s="9"/>
    </row>
    <row r="461">
      <c r="A461" s="5" t="s">
        <v>9</v>
      </c>
      <c r="B461" s="9" t="str">
        <f>IFERROR(__xludf.DUMMYFUNCTION("""COMPUTED_VALUE"""),"王O廷")</f>
        <v>王O廷</v>
      </c>
      <c r="C461" s="9" t="str">
        <f>IFERROR(__xludf.DUMMYFUNCTION("""COMPUTED_VALUE"""),"310*****365.tsshs.ntpc.edu.tw")</f>
        <v>310*****365.tsshs.ntpc.edu.tw</v>
      </c>
      <c r="D461" s="9" t="str">
        <f>IFERROR(__xludf.DUMMYFUNCTION("""COMPUTED_VALUE"""),"辭修學校財團法人新北市私立辭修高級中學")</f>
        <v>辭修學校財團法人新北市私立辭修高級中學</v>
      </c>
      <c r="E461" s="9" t="str">
        <f>IFERROR(__xludf.DUMMYFUNCTION("""COMPUTED_VALUE"""),"普通科")</f>
        <v>普通科</v>
      </c>
      <c r="F461" s="9" t="str">
        <f>IFERROR(__xludf.DUMMYFUNCTION("""COMPUTED_VALUE"""),"一年級")</f>
        <v>一年級</v>
      </c>
      <c r="G461" s="10" t="str">
        <f>IFERROR(__xludf.DUMMYFUNCTION("""COMPUTED_VALUE"""),"■商品卡$200")</f>
        <v>■商品卡$200</v>
      </c>
      <c r="H461" s="9"/>
    </row>
    <row r="462">
      <c r="A462" s="5" t="s">
        <v>9</v>
      </c>
      <c r="B462" s="9" t="str">
        <f>IFERROR(__xludf.DUMMYFUNCTION("""COMPUTED_VALUE"""),"李O恩")</f>
        <v>李O恩</v>
      </c>
      <c r="C462" s="9" t="str">
        <f>IFERROR(__xludf.DUMMYFUNCTION("""COMPUTED_VALUE"""),"310*****365.tsshs.ntpc.edu.tw")</f>
        <v>310*****365.tsshs.ntpc.edu.tw</v>
      </c>
      <c r="D462" s="9" t="str">
        <f>IFERROR(__xludf.DUMMYFUNCTION("""COMPUTED_VALUE"""),"辭修學校財團法人新北市私立辭修高級中學")</f>
        <v>辭修學校財團法人新北市私立辭修高級中學</v>
      </c>
      <c r="E462" s="9" t="str">
        <f>IFERROR(__xludf.DUMMYFUNCTION("""COMPUTED_VALUE"""),"普通科")</f>
        <v>普通科</v>
      </c>
      <c r="F462" s="9" t="str">
        <f>IFERROR(__xludf.DUMMYFUNCTION("""COMPUTED_VALUE"""),"一年級")</f>
        <v>一年級</v>
      </c>
      <c r="G462" s="10" t="str">
        <f>IFERROR(__xludf.DUMMYFUNCTION("""COMPUTED_VALUE"""),"■商品卡$200")</f>
        <v>■商品卡$200</v>
      </c>
      <c r="H462" s="9"/>
    </row>
    <row r="463">
      <c r="A463" s="5" t="s">
        <v>9</v>
      </c>
      <c r="B463" s="9" t="str">
        <f>IFERROR(__xludf.DUMMYFUNCTION("""COMPUTED_VALUE"""),"湯O豪")</f>
        <v>湯O豪</v>
      </c>
      <c r="C463" s="9" t="str">
        <f>IFERROR(__xludf.DUMMYFUNCTION("""COMPUTED_VALUE"""),"310*****365.tsshs.ntpc.edu.tw")</f>
        <v>310*****365.tsshs.ntpc.edu.tw</v>
      </c>
      <c r="D463" s="9" t="str">
        <f>IFERROR(__xludf.DUMMYFUNCTION("""COMPUTED_VALUE"""),"辭修學校財團法人新北市私立辭修高級中學")</f>
        <v>辭修學校財團法人新北市私立辭修高級中學</v>
      </c>
      <c r="E463" s="9" t="str">
        <f>IFERROR(__xludf.DUMMYFUNCTION("""COMPUTED_VALUE"""),"普通科")</f>
        <v>普通科</v>
      </c>
      <c r="F463" s="9" t="str">
        <f>IFERROR(__xludf.DUMMYFUNCTION("""COMPUTED_VALUE"""),"一年級")</f>
        <v>一年級</v>
      </c>
      <c r="G463" s="10" t="str">
        <f>IFERROR(__xludf.DUMMYFUNCTION("""COMPUTED_VALUE"""),"獎狀")</f>
        <v>獎狀</v>
      </c>
      <c r="H463" s="9"/>
    </row>
    <row r="464">
      <c r="A464" s="5" t="s">
        <v>9</v>
      </c>
      <c r="B464" s="9" t="str">
        <f>IFERROR(__xludf.DUMMYFUNCTION("""COMPUTED_VALUE"""),"林O緯")</f>
        <v>林O緯</v>
      </c>
      <c r="C464" s="9" t="str">
        <f>IFERROR(__xludf.DUMMYFUNCTION("""COMPUTED_VALUE"""),"310*****365.tsshs.ntpc.edu.tw")</f>
        <v>310*****365.tsshs.ntpc.edu.tw</v>
      </c>
      <c r="D464" s="9" t="str">
        <f>IFERROR(__xludf.DUMMYFUNCTION("""COMPUTED_VALUE"""),"辭修學校財團法人新北市私立辭修高級中學")</f>
        <v>辭修學校財團法人新北市私立辭修高級中學</v>
      </c>
      <c r="E464" s="9" t="str">
        <f>IFERROR(__xludf.DUMMYFUNCTION("""COMPUTED_VALUE"""),"普通科")</f>
        <v>普通科</v>
      </c>
      <c r="F464" s="9" t="str">
        <f>IFERROR(__xludf.DUMMYFUNCTION("""COMPUTED_VALUE"""),"一年級")</f>
        <v>一年級</v>
      </c>
      <c r="G464" s="10" t="str">
        <f>IFERROR(__xludf.DUMMYFUNCTION("""COMPUTED_VALUE"""),"■商品卡$200")</f>
        <v>■商品卡$200</v>
      </c>
      <c r="H464" s="9"/>
    </row>
    <row r="465">
      <c r="A465" s="5" t="s">
        <v>9</v>
      </c>
      <c r="B465" s="9" t="str">
        <f>IFERROR(__xludf.DUMMYFUNCTION("""COMPUTED_VALUE"""),"王O嘉")</f>
        <v>王O嘉</v>
      </c>
      <c r="C465" s="9" t="str">
        <f>IFERROR(__xludf.DUMMYFUNCTION("""COMPUTED_VALUE"""),"310*****365.tsshs.ntpc.edu.tw")</f>
        <v>310*****365.tsshs.ntpc.edu.tw</v>
      </c>
      <c r="D465" s="9" t="str">
        <f>IFERROR(__xludf.DUMMYFUNCTION("""COMPUTED_VALUE"""),"辭修學校財團法人新北市私立辭修高級中學")</f>
        <v>辭修學校財團法人新北市私立辭修高級中學</v>
      </c>
      <c r="E465" s="9" t="str">
        <f>IFERROR(__xludf.DUMMYFUNCTION("""COMPUTED_VALUE"""),"普通科")</f>
        <v>普通科</v>
      </c>
      <c r="F465" s="9" t="str">
        <f>IFERROR(__xludf.DUMMYFUNCTION("""COMPUTED_VALUE"""),"一年級")</f>
        <v>一年級</v>
      </c>
      <c r="G465" s="10" t="str">
        <f>IFERROR(__xludf.DUMMYFUNCTION("""COMPUTED_VALUE"""),"獎狀")</f>
        <v>獎狀</v>
      </c>
      <c r="H465" s="9"/>
    </row>
    <row r="466">
      <c r="A466" s="5" t="s">
        <v>9</v>
      </c>
      <c r="B466" s="9" t="str">
        <f>IFERROR(__xludf.DUMMYFUNCTION("""COMPUTED_VALUE"""),"葉O麟")</f>
        <v>葉O麟</v>
      </c>
      <c r="C466" s="9" t="str">
        <f>IFERROR(__xludf.DUMMYFUNCTION("""COMPUTED_VALUE"""),"310*****365.tsshs.ntpc.edu.tw")</f>
        <v>310*****365.tsshs.ntpc.edu.tw</v>
      </c>
      <c r="D466" s="9" t="str">
        <f>IFERROR(__xludf.DUMMYFUNCTION("""COMPUTED_VALUE"""),"辭修學校財團法人新北市私立辭修高級中學")</f>
        <v>辭修學校財團法人新北市私立辭修高級中學</v>
      </c>
      <c r="E466" s="9" t="str">
        <f>IFERROR(__xludf.DUMMYFUNCTION("""COMPUTED_VALUE"""),"普通科")</f>
        <v>普通科</v>
      </c>
      <c r="F466" s="9" t="str">
        <f>IFERROR(__xludf.DUMMYFUNCTION("""COMPUTED_VALUE"""),"一年級")</f>
        <v>一年級</v>
      </c>
      <c r="G466" s="10" t="str">
        <f>IFERROR(__xludf.DUMMYFUNCTION("""COMPUTED_VALUE"""),"獎狀")</f>
        <v>獎狀</v>
      </c>
      <c r="H466" s="9"/>
    </row>
    <row r="467">
      <c r="A467" s="5" t="s">
        <v>9</v>
      </c>
      <c r="B467" s="9" t="str">
        <f>IFERROR(__xludf.DUMMYFUNCTION("""COMPUTED_VALUE"""),"林O言")</f>
        <v>林O言</v>
      </c>
      <c r="C467" s="9" t="str">
        <f>IFERROR(__xludf.DUMMYFUNCTION("""COMPUTED_VALUE"""),"310*****365.tsshs.ntpc.edu.tw")</f>
        <v>310*****365.tsshs.ntpc.edu.tw</v>
      </c>
      <c r="D467" s="9" t="str">
        <f>IFERROR(__xludf.DUMMYFUNCTION("""COMPUTED_VALUE"""),"辭修學校財團法人新北市私立辭修高級中學")</f>
        <v>辭修學校財團法人新北市私立辭修高級中學</v>
      </c>
      <c r="E467" s="9" t="str">
        <f>IFERROR(__xludf.DUMMYFUNCTION("""COMPUTED_VALUE"""),"普通科")</f>
        <v>普通科</v>
      </c>
      <c r="F467" s="9" t="str">
        <f>IFERROR(__xludf.DUMMYFUNCTION("""COMPUTED_VALUE"""),"一年級")</f>
        <v>一年級</v>
      </c>
      <c r="G467" s="10" t="str">
        <f>IFERROR(__xludf.DUMMYFUNCTION("""COMPUTED_VALUE"""),"獎狀")</f>
        <v>獎狀</v>
      </c>
      <c r="H467" s="9"/>
    </row>
    <row r="468">
      <c r="A468" s="5" t="s">
        <v>9</v>
      </c>
      <c r="B468" s="9" t="str">
        <f>IFERROR(__xludf.DUMMYFUNCTION("""COMPUTED_VALUE"""),"李O昕")</f>
        <v>李O昕</v>
      </c>
      <c r="C468" s="9" t="str">
        <f>IFERROR(__xludf.DUMMYFUNCTION("""COMPUTED_VALUE"""),"310*****365.tsshs.ntpc.edu.tw")</f>
        <v>310*****365.tsshs.ntpc.edu.tw</v>
      </c>
      <c r="D468" s="9" t="str">
        <f>IFERROR(__xludf.DUMMYFUNCTION("""COMPUTED_VALUE"""),"辭修學校財團法人新北市私立辭修高級中學")</f>
        <v>辭修學校財團法人新北市私立辭修高級中學</v>
      </c>
      <c r="E468" s="9" t="str">
        <f>IFERROR(__xludf.DUMMYFUNCTION("""COMPUTED_VALUE"""),"普通科")</f>
        <v>普通科</v>
      </c>
      <c r="F468" s="9" t="str">
        <f>IFERROR(__xludf.DUMMYFUNCTION("""COMPUTED_VALUE"""),"一年級")</f>
        <v>一年級</v>
      </c>
      <c r="G468" s="10" t="str">
        <f>IFERROR(__xludf.DUMMYFUNCTION("""COMPUTED_VALUE"""),"獎狀")</f>
        <v>獎狀</v>
      </c>
      <c r="H468" s="9"/>
    </row>
    <row r="469">
      <c r="A469" s="5" t="s">
        <v>9</v>
      </c>
      <c r="B469" s="9" t="str">
        <f>IFERROR(__xludf.DUMMYFUNCTION("""COMPUTED_VALUE"""),"劉O誠")</f>
        <v>劉O誠</v>
      </c>
      <c r="C469" s="9" t="str">
        <f>IFERROR(__xludf.DUMMYFUNCTION("""COMPUTED_VALUE"""),"310*****365.tsshs.ntpc.edu.tw")</f>
        <v>310*****365.tsshs.ntpc.edu.tw</v>
      </c>
      <c r="D469" s="9" t="str">
        <f>IFERROR(__xludf.DUMMYFUNCTION("""COMPUTED_VALUE"""),"辭修學校財團法人新北市私立辭修高級中學")</f>
        <v>辭修學校財團法人新北市私立辭修高級中學</v>
      </c>
      <c r="E469" s="9" t="str">
        <f>IFERROR(__xludf.DUMMYFUNCTION("""COMPUTED_VALUE"""),"普通科")</f>
        <v>普通科</v>
      </c>
      <c r="F469" s="9" t="str">
        <f>IFERROR(__xludf.DUMMYFUNCTION("""COMPUTED_VALUE"""),"一年級")</f>
        <v>一年級</v>
      </c>
      <c r="G469" s="10" t="str">
        <f>IFERROR(__xludf.DUMMYFUNCTION("""COMPUTED_VALUE"""),"獎狀")</f>
        <v>獎狀</v>
      </c>
      <c r="H469" s="9"/>
    </row>
    <row r="470">
      <c r="A470" s="5" t="s">
        <v>9</v>
      </c>
      <c r="B470" s="9" t="str">
        <f>IFERROR(__xludf.DUMMYFUNCTION("""COMPUTED_VALUE"""),"李O翰")</f>
        <v>李O翰</v>
      </c>
      <c r="C470" s="9" t="str">
        <f>IFERROR(__xludf.DUMMYFUNCTION("""COMPUTED_VALUE"""),"310*****365.tsshs.ntpc.edu.tw")</f>
        <v>310*****365.tsshs.ntpc.edu.tw</v>
      </c>
      <c r="D470" s="9" t="str">
        <f>IFERROR(__xludf.DUMMYFUNCTION("""COMPUTED_VALUE"""),"辭修學校財團法人新北市私立辭修高級中學")</f>
        <v>辭修學校財團法人新北市私立辭修高級中學</v>
      </c>
      <c r="E470" s="9" t="str">
        <f>IFERROR(__xludf.DUMMYFUNCTION("""COMPUTED_VALUE"""),"普通科")</f>
        <v>普通科</v>
      </c>
      <c r="F470" s="9" t="str">
        <f>IFERROR(__xludf.DUMMYFUNCTION("""COMPUTED_VALUE"""),"一年級")</f>
        <v>一年級</v>
      </c>
      <c r="G470" s="10" t="str">
        <f>IFERROR(__xludf.DUMMYFUNCTION("""COMPUTED_VALUE"""),"獎狀")</f>
        <v>獎狀</v>
      </c>
      <c r="H470" s="9"/>
    </row>
    <row r="471">
      <c r="A471" s="5" t="s">
        <v>9</v>
      </c>
      <c r="B471" s="9" t="str">
        <f>IFERROR(__xludf.DUMMYFUNCTION("""COMPUTED_VALUE"""),"林O蓁")</f>
        <v>林O蓁</v>
      </c>
      <c r="C471" s="9" t="str">
        <f>IFERROR(__xludf.DUMMYFUNCTION("""COMPUTED_VALUE"""),"310*****365.tsshs.ntpc.edu.tw")</f>
        <v>310*****365.tsshs.ntpc.edu.tw</v>
      </c>
      <c r="D471" s="9" t="str">
        <f>IFERROR(__xludf.DUMMYFUNCTION("""COMPUTED_VALUE"""),"辭修學校財團法人新北市私立辭修高級中學")</f>
        <v>辭修學校財團法人新北市私立辭修高級中學</v>
      </c>
      <c r="E471" s="9" t="str">
        <f>IFERROR(__xludf.DUMMYFUNCTION("""COMPUTED_VALUE"""),"普通科")</f>
        <v>普通科</v>
      </c>
      <c r="F471" s="9" t="str">
        <f>IFERROR(__xludf.DUMMYFUNCTION("""COMPUTED_VALUE"""),"一年級")</f>
        <v>一年級</v>
      </c>
      <c r="G471" s="10" t="str">
        <f>IFERROR(__xludf.DUMMYFUNCTION("""COMPUTED_VALUE"""),"■商品卡$200")</f>
        <v>■商品卡$200</v>
      </c>
      <c r="H471" s="9"/>
    </row>
    <row r="472">
      <c r="A472" s="5" t="s">
        <v>9</v>
      </c>
      <c r="B472" s="9" t="str">
        <f>IFERROR(__xludf.DUMMYFUNCTION("""COMPUTED_VALUE"""),"林O禎")</f>
        <v>林O禎</v>
      </c>
      <c r="C472" s="9" t="str">
        <f>IFERROR(__xludf.DUMMYFUNCTION("""COMPUTED_VALUE"""),"310*****365.tsshs.ntpc.edu.tw")</f>
        <v>310*****365.tsshs.ntpc.edu.tw</v>
      </c>
      <c r="D472" s="9" t="str">
        <f>IFERROR(__xludf.DUMMYFUNCTION("""COMPUTED_VALUE"""),"辭修學校財團法人新北市私立辭修高級中學")</f>
        <v>辭修學校財團法人新北市私立辭修高級中學</v>
      </c>
      <c r="E472" s="9" t="str">
        <f>IFERROR(__xludf.DUMMYFUNCTION("""COMPUTED_VALUE"""),"普通科")</f>
        <v>普通科</v>
      </c>
      <c r="F472" s="9" t="str">
        <f>IFERROR(__xludf.DUMMYFUNCTION("""COMPUTED_VALUE"""),"一年級")</f>
        <v>一年級</v>
      </c>
      <c r="G472" s="10" t="str">
        <f>IFERROR(__xludf.DUMMYFUNCTION("""COMPUTED_VALUE"""),"獎狀")</f>
        <v>獎狀</v>
      </c>
      <c r="H472" s="9"/>
    </row>
    <row r="473">
      <c r="A473" s="5" t="s">
        <v>9</v>
      </c>
      <c r="B473" s="9" t="str">
        <f>IFERROR(__xludf.DUMMYFUNCTION("""COMPUTED_VALUE"""),"邱O郁")</f>
        <v>邱O郁</v>
      </c>
      <c r="C473" s="9" t="str">
        <f>IFERROR(__xludf.DUMMYFUNCTION("""COMPUTED_VALUE"""),"310*****365.tsshs.ntpc.edu.tw")</f>
        <v>310*****365.tsshs.ntpc.edu.tw</v>
      </c>
      <c r="D473" s="9" t="str">
        <f>IFERROR(__xludf.DUMMYFUNCTION("""COMPUTED_VALUE"""),"辭修學校財團法人新北市私立辭修高級中學")</f>
        <v>辭修學校財團法人新北市私立辭修高級中學</v>
      </c>
      <c r="E473" s="9" t="str">
        <f>IFERROR(__xludf.DUMMYFUNCTION("""COMPUTED_VALUE"""),"普通科")</f>
        <v>普通科</v>
      </c>
      <c r="F473" s="9" t="str">
        <f>IFERROR(__xludf.DUMMYFUNCTION("""COMPUTED_VALUE"""),"一年級")</f>
        <v>一年級</v>
      </c>
      <c r="G473" s="10" t="str">
        <f>IFERROR(__xludf.DUMMYFUNCTION("""COMPUTED_VALUE"""),"獎狀")</f>
        <v>獎狀</v>
      </c>
      <c r="H473" s="9"/>
    </row>
    <row r="474">
      <c r="A474" s="5" t="s">
        <v>9</v>
      </c>
      <c r="B474" s="9" t="str">
        <f>IFERROR(__xludf.DUMMYFUNCTION("""COMPUTED_VALUE"""),"羅O柔")</f>
        <v>羅O柔</v>
      </c>
      <c r="C474" s="9" t="str">
        <f>IFERROR(__xludf.DUMMYFUNCTION("""COMPUTED_VALUE"""),"310*****365.tsshs.ntpc.edu.tw")</f>
        <v>310*****365.tsshs.ntpc.edu.tw</v>
      </c>
      <c r="D474" s="9" t="str">
        <f>IFERROR(__xludf.DUMMYFUNCTION("""COMPUTED_VALUE"""),"辭修學校財團法人新北市私立辭修高級中學")</f>
        <v>辭修學校財團法人新北市私立辭修高級中學</v>
      </c>
      <c r="E474" s="9" t="str">
        <f>IFERROR(__xludf.DUMMYFUNCTION("""COMPUTED_VALUE"""),"普通科")</f>
        <v>普通科</v>
      </c>
      <c r="F474" s="9" t="str">
        <f>IFERROR(__xludf.DUMMYFUNCTION("""COMPUTED_VALUE"""),"一年級")</f>
        <v>一年級</v>
      </c>
      <c r="G474" s="10" t="str">
        <f>IFERROR(__xludf.DUMMYFUNCTION("""COMPUTED_VALUE"""),"獎狀")</f>
        <v>獎狀</v>
      </c>
      <c r="H474" s="9"/>
    </row>
    <row r="475">
      <c r="A475" s="5" t="s">
        <v>9</v>
      </c>
      <c r="B475" s="9" t="str">
        <f>IFERROR(__xludf.DUMMYFUNCTION("""COMPUTED_VALUE"""),"吳O妤")</f>
        <v>吳O妤</v>
      </c>
      <c r="C475" s="9" t="str">
        <f>IFERROR(__xludf.DUMMYFUNCTION("""COMPUTED_VALUE"""),"310*****365.tsshs.ntpc.edu.tw")</f>
        <v>310*****365.tsshs.ntpc.edu.tw</v>
      </c>
      <c r="D475" s="9" t="str">
        <f>IFERROR(__xludf.DUMMYFUNCTION("""COMPUTED_VALUE"""),"辭修學校財團法人新北市私立辭修高級中學")</f>
        <v>辭修學校財團法人新北市私立辭修高級中學</v>
      </c>
      <c r="E475" s="9" t="str">
        <f>IFERROR(__xludf.DUMMYFUNCTION("""COMPUTED_VALUE"""),"普通科")</f>
        <v>普通科</v>
      </c>
      <c r="F475" s="9" t="str">
        <f>IFERROR(__xludf.DUMMYFUNCTION("""COMPUTED_VALUE"""),"一年級")</f>
        <v>一年級</v>
      </c>
      <c r="G475" s="10" t="str">
        <f>IFERROR(__xludf.DUMMYFUNCTION("""COMPUTED_VALUE"""),"獎狀")</f>
        <v>獎狀</v>
      </c>
      <c r="H475" s="9"/>
    </row>
    <row r="476">
      <c r="A476" s="5" t="s">
        <v>9</v>
      </c>
      <c r="B476" s="9" t="str">
        <f>IFERROR(__xludf.DUMMYFUNCTION("""COMPUTED_VALUE"""),"周O諠")</f>
        <v>周O諠</v>
      </c>
      <c r="C476" s="9" t="str">
        <f>IFERROR(__xludf.DUMMYFUNCTION("""COMPUTED_VALUE"""),"310*****365.tsshs.ntpc.edu.tw")</f>
        <v>310*****365.tsshs.ntpc.edu.tw</v>
      </c>
      <c r="D476" s="9" t="str">
        <f>IFERROR(__xludf.DUMMYFUNCTION("""COMPUTED_VALUE"""),"辭修學校財團法人新北市私立辭修高級中學")</f>
        <v>辭修學校財團法人新北市私立辭修高級中學</v>
      </c>
      <c r="E476" s="9" t="str">
        <f>IFERROR(__xludf.DUMMYFUNCTION("""COMPUTED_VALUE"""),"普通科")</f>
        <v>普通科</v>
      </c>
      <c r="F476" s="9" t="str">
        <f>IFERROR(__xludf.DUMMYFUNCTION("""COMPUTED_VALUE"""),"一年級")</f>
        <v>一年級</v>
      </c>
      <c r="G476" s="10" t="str">
        <f>IFERROR(__xludf.DUMMYFUNCTION("""COMPUTED_VALUE"""),"獎狀")</f>
        <v>獎狀</v>
      </c>
      <c r="H476" s="9"/>
    </row>
    <row r="477">
      <c r="A477" s="5" t="s">
        <v>9</v>
      </c>
      <c r="B477" s="9" t="str">
        <f>IFERROR(__xludf.DUMMYFUNCTION("""COMPUTED_VALUE"""),"林O芳")</f>
        <v>林O芳</v>
      </c>
      <c r="C477" s="9" t="str">
        <f>IFERROR(__xludf.DUMMYFUNCTION("""COMPUTED_VALUE"""),"310*****365.tsshs.ntpc.edu.tw")</f>
        <v>310*****365.tsshs.ntpc.edu.tw</v>
      </c>
      <c r="D477" s="9" t="str">
        <f>IFERROR(__xludf.DUMMYFUNCTION("""COMPUTED_VALUE"""),"辭修學校財團法人新北市私立辭修高級中學")</f>
        <v>辭修學校財團法人新北市私立辭修高級中學</v>
      </c>
      <c r="E477" s="9" t="str">
        <f>IFERROR(__xludf.DUMMYFUNCTION("""COMPUTED_VALUE"""),"普通科")</f>
        <v>普通科</v>
      </c>
      <c r="F477" s="9" t="str">
        <f>IFERROR(__xludf.DUMMYFUNCTION("""COMPUTED_VALUE"""),"一年級")</f>
        <v>一年級</v>
      </c>
      <c r="G477" s="10" t="str">
        <f>IFERROR(__xludf.DUMMYFUNCTION("""COMPUTED_VALUE"""),"獎狀")</f>
        <v>獎狀</v>
      </c>
      <c r="H477" s="9"/>
    </row>
    <row r="478">
      <c r="A478" s="5" t="s">
        <v>9</v>
      </c>
      <c r="B478" s="9" t="str">
        <f>IFERROR(__xludf.DUMMYFUNCTION("""COMPUTED_VALUE"""),"許O耘")</f>
        <v>許O耘</v>
      </c>
      <c r="C478" s="9" t="str">
        <f>IFERROR(__xludf.DUMMYFUNCTION("""COMPUTED_VALUE"""),"310*****365.tsshs.ntpc.edu.tw")</f>
        <v>310*****365.tsshs.ntpc.edu.tw</v>
      </c>
      <c r="D478" s="9" t="str">
        <f>IFERROR(__xludf.DUMMYFUNCTION("""COMPUTED_VALUE"""),"辭修學校財團法人新北市私立辭修高級中學")</f>
        <v>辭修學校財團法人新北市私立辭修高級中學</v>
      </c>
      <c r="E478" s="9" t="str">
        <f>IFERROR(__xludf.DUMMYFUNCTION("""COMPUTED_VALUE"""),"普通科")</f>
        <v>普通科</v>
      </c>
      <c r="F478" s="9" t="str">
        <f>IFERROR(__xludf.DUMMYFUNCTION("""COMPUTED_VALUE"""),"一年級")</f>
        <v>一年級</v>
      </c>
      <c r="G478" s="10" t="str">
        <f>IFERROR(__xludf.DUMMYFUNCTION("""COMPUTED_VALUE"""),"■商品卡$200")</f>
        <v>■商品卡$200</v>
      </c>
      <c r="H478" s="9"/>
    </row>
    <row r="479">
      <c r="A479" s="5" t="s">
        <v>9</v>
      </c>
      <c r="B479" s="9" t="str">
        <f>IFERROR(__xludf.DUMMYFUNCTION("""COMPUTED_VALUE"""),"孔O雅")</f>
        <v>孔O雅</v>
      </c>
      <c r="C479" s="9" t="str">
        <f>IFERROR(__xludf.DUMMYFUNCTION("""COMPUTED_VALUE"""),"310*****365.tsshs.ntpc.edu.tw")</f>
        <v>310*****365.tsshs.ntpc.edu.tw</v>
      </c>
      <c r="D479" s="9" t="str">
        <f>IFERROR(__xludf.DUMMYFUNCTION("""COMPUTED_VALUE"""),"辭修學校財團法人新北市私立辭修高級中學")</f>
        <v>辭修學校財團法人新北市私立辭修高級中學</v>
      </c>
      <c r="E479" s="9" t="str">
        <f>IFERROR(__xludf.DUMMYFUNCTION("""COMPUTED_VALUE"""),"普通科")</f>
        <v>普通科</v>
      </c>
      <c r="F479" s="9" t="str">
        <f>IFERROR(__xludf.DUMMYFUNCTION("""COMPUTED_VALUE"""),"一年級")</f>
        <v>一年級</v>
      </c>
      <c r="G479" s="10" t="str">
        <f>IFERROR(__xludf.DUMMYFUNCTION("""COMPUTED_VALUE"""),"獎狀")</f>
        <v>獎狀</v>
      </c>
      <c r="H479" s="9"/>
    </row>
    <row r="480">
      <c r="A480" s="5" t="s">
        <v>9</v>
      </c>
      <c r="B480" s="9" t="str">
        <f>IFERROR(__xludf.DUMMYFUNCTION("""COMPUTED_VALUE"""),"陳O頤")</f>
        <v>陳O頤</v>
      </c>
      <c r="C480" s="9" t="str">
        <f>IFERROR(__xludf.DUMMYFUNCTION("""COMPUTED_VALUE"""),"310*****365.tsshs.ntpc.edu.tw")</f>
        <v>310*****365.tsshs.ntpc.edu.tw</v>
      </c>
      <c r="D480" s="9" t="str">
        <f>IFERROR(__xludf.DUMMYFUNCTION("""COMPUTED_VALUE"""),"辭修學校財團法人新北市私立辭修高級中學")</f>
        <v>辭修學校財團法人新北市私立辭修高級中學</v>
      </c>
      <c r="E480" s="9" t="str">
        <f>IFERROR(__xludf.DUMMYFUNCTION("""COMPUTED_VALUE"""),"普通科")</f>
        <v>普通科</v>
      </c>
      <c r="F480" s="9" t="str">
        <f>IFERROR(__xludf.DUMMYFUNCTION("""COMPUTED_VALUE"""),"一年級")</f>
        <v>一年級</v>
      </c>
      <c r="G480" s="10" t="str">
        <f>IFERROR(__xludf.DUMMYFUNCTION("""COMPUTED_VALUE"""),"■商品卡$200")</f>
        <v>■商品卡$200</v>
      </c>
      <c r="H480" s="9"/>
    </row>
    <row r="481">
      <c r="A481" s="5" t="s">
        <v>9</v>
      </c>
      <c r="B481" s="9" t="str">
        <f>IFERROR(__xludf.DUMMYFUNCTION("""COMPUTED_VALUE"""),"黃O銘")</f>
        <v>黃O銘</v>
      </c>
      <c r="C481" s="9" t="str">
        <f>IFERROR(__xludf.DUMMYFUNCTION("""COMPUTED_VALUE"""),"310*****365.tsshs.ntpc.edu.tw")</f>
        <v>310*****365.tsshs.ntpc.edu.tw</v>
      </c>
      <c r="D481" s="9" t="str">
        <f>IFERROR(__xludf.DUMMYFUNCTION("""COMPUTED_VALUE"""),"辭修學校財團法人新北市私立辭修高級中學")</f>
        <v>辭修學校財團法人新北市私立辭修高級中學</v>
      </c>
      <c r="E481" s="9" t="str">
        <f>IFERROR(__xludf.DUMMYFUNCTION("""COMPUTED_VALUE"""),"普通科")</f>
        <v>普通科</v>
      </c>
      <c r="F481" s="9" t="str">
        <f>IFERROR(__xludf.DUMMYFUNCTION("""COMPUTED_VALUE"""),"一年級")</f>
        <v>一年級</v>
      </c>
      <c r="G481" s="10" t="str">
        <f>IFERROR(__xludf.DUMMYFUNCTION("""COMPUTED_VALUE"""),"獎狀")</f>
        <v>獎狀</v>
      </c>
      <c r="H481" s="9"/>
    </row>
    <row r="482">
      <c r="A482" s="5" t="s">
        <v>9</v>
      </c>
      <c r="B482" s="9" t="str">
        <f>IFERROR(__xludf.DUMMYFUNCTION("""COMPUTED_VALUE"""),"劉O綺")</f>
        <v>劉O綺</v>
      </c>
      <c r="C482" s="9" t="str">
        <f>IFERROR(__xludf.DUMMYFUNCTION("""COMPUTED_VALUE"""),"310*****365.tsshs.ntpc.edu.tw")</f>
        <v>310*****365.tsshs.ntpc.edu.tw</v>
      </c>
      <c r="D482" s="9" t="str">
        <f>IFERROR(__xludf.DUMMYFUNCTION("""COMPUTED_VALUE"""),"辭修學校財團法人新北市私立辭修高級中學")</f>
        <v>辭修學校財團法人新北市私立辭修高級中學</v>
      </c>
      <c r="E482" s="9" t="str">
        <f>IFERROR(__xludf.DUMMYFUNCTION("""COMPUTED_VALUE"""),"普通科")</f>
        <v>普通科</v>
      </c>
      <c r="F482" s="9" t="str">
        <f>IFERROR(__xludf.DUMMYFUNCTION("""COMPUTED_VALUE"""),"一年級")</f>
        <v>一年級</v>
      </c>
      <c r="G482" s="10" t="str">
        <f>IFERROR(__xludf.DUMMYFUNCTION("""COMPUTED_VALUE"""),"獎狀")</f>
        <v>獎狀</v>
      </c>
      <c r="H482" s="9"/>
    </row>
    <row r="483">
      <c r="A483" s="5" t="s">
        <v>9</v>
      </c>
      <c r="B483" s="9" t="str">
        <f>IFERROR(__xludf.DUMMYFUNCTION("""COMPUTED_VALUE"""),"李O諠")</f>
        <v>李O諠</v>
      </c>
      <c r="C483" s="9" t="str">
        <f>IFERROR(__xludf.DUMMYFUNCTION("""COMPUTED_VALUE"""),"310*****365.tsshs.ntpc.edu.tw")</f>
        <v>310*****365.tsshs.ntpc.edu.tw</v>
      </c>
      <c r="D483" s="9" t="str">
        <f>IFERROR(__xludf.DUMMYFUNCTION("""COMPUTED_VALUE"""),"辭修學校財團法人新北市私立辭修高級中學")</f>
        <v>辭修學校財團法人新北市私立辭修高級中學</v>
      </c>
      <c r="E483" s="9" t="str">
        <f>IFERROR(__xludf.DUMMYFUNCTION("""COMPUTED_VALUE"""),"普通科")</f>
        <v>普通科</v>
      </c>
      <c r="F483" s="9" t="str">
        <f>IFERROR(__xludf.DUMMYFUNCTION("""COMPUTED_VALUE"""),"一年級")</f>
        <v>一年級</v>
      </c>
      <c r="G483" s="10" t="str">
        <f>IFERROR(__xludf.DUMMYFUNCTION("""COMPUTED_VALUE"""),"獎狀")</f>
        <v>獎狀</v>
      </c>
      <c r="H483" s="9"/>
    </row>
    <row r="484">
      <c r="A484" s="5" t="s">
        <v>9</v>
      </c>
      <c r="B484" s="9" t="str">
        <f>IFERROR(__xludf.DUMMYFUNCTION("""COMPUTED_VALUE"""),"劉O畇")</f>
        <v>劉O畇</v>
      </c>
      <c r="C484" s="9" t="str">
        <f>IFERROR(__xludf.DUMMYFUNCTION("""COMPUTED_VALUE"""),"310*****365.tsshs.ntpc.edu.tw")</f>
        <v>310*****365.tsshs.ntpc.edu.tw</v>
      </c>
      <c r="D484" s="9" t="str">
        <f>IFERROR(__xludf.DUMMYFUNCTION("""COMPUTED_VALUE"""),"辭修學校財團法人新北市私立辭修高級中學")</f>
        <v>辭修學校財團法人新北市私立辭修高級中學</v>
      </c>
      <c r="E484" s="9" t="str">
        <f>IFERROR(__xludf.DUMMYFUNCTION("""COMPUTED_VALUE"""),"普通科")</f>
        <v>普通科</v>
      </c>
      <c r="F484" s="9" t="str">
        <f>IFERROR(__xludf.DUMMYFUNCTION("""COMPUTED_VALUE"""),"一年級")</f>
        <v>一年級</v>
      </c>
      <c r="G484" s="10" t="str">
        <f>IFERROR(__xludf.DUMMYFUNCTION("""COMPUTED_VALUE"""),"獎狀")</f>
        <v>獎狀</v>
      </c>
      <c r="H484" s="9"/>
    </row>
    <row r="485">
      <c r="A485" s="5" t="s">
        <v>9</v>
      </c>
      <c r="B485" s="9" t="str">
        <f>IFERROR(__xludf.DUMMYFUNCTION("""COMPUTED_VALUE"""),"陳O臻")</f>
        <v>陳O臻</v>
      </c>
      <c r="C485" s="9" t="str">
        <f>IFERROR(__xludf.DUMMYFUNCTION("""COMPUTED_VALUE"""),"310*****365.tsshs.ntpc.edu.tw")</f>
        <v>310*****365.tsshs.ntpc.edu.tw</v>
      </c>
      <c r="D485" s="9" t="str">
        <f>IFERROR(__xludf.DUMMYFUNCTION("""COMPUTED_VALUE"""),"辭修學校財團法人新北市私立辭修高級中學")</f>
        <v>辭修學校財團法人新北市私立辭修高級中學</v>
      </c>
      <c r="E485" s="9" t="str">
        <f>IFERROR(__xludf.DUMMYFUNCTION("""COMPUTED_VALUE"""),"普通科")</f>
        <v>普通科</v>
      </c>
      <c r="F485" s="9" t="str">
        <f>IFERROR(__xludf.DUMMYFUNCTION("""COMPUTED_VALUE"""),"一年級")</f>
        <v>一年級</v>
      </c>
      <c r="G485" s="10" t="str">
        <f>IFERROR(__xludf.DUMMYFUNCTION("""COMPUTED_VALUE"""),"獎狀")</f>
        <v>獎狀</v>
      </c>
      <c r="H485" s="9"/>
    </row>
    <row r="486">
      <c r="A486" s="5" t="s">
        <v>9</v>
      </c>
      <c r="B486" s="9" t="str">
        <f>IFERROR(__xludf.DUMMYFUNCTION("""COMPUTED_VALUE"""),"何O菉")</f>
        <v>何O菉</v>
      </c>
      <c r="C486" s="9" t="str">
        <f>IFERROR(__xludf.DUMMYFUNCTION("""COMPUTED_VALUE"""),"310*****365.tsshs.ntpc.edu.tw")</f>
        <v>310*****365.tsshs.ntpc.edu.tw</v>
      </c>
      <c r="D486" s="9" t="str">
        <f>IFERROR(__xludf.DUMMYFUNCTION("""COMPUTED_VALUE"""),"辭修學校財團法人新北市私立辭修高級中學")</f>
        <v>辭修學校財團法人新北市私立辭修高級中學</v>
      </c>
      <c r="E486" s="9" t="str">
        <f>IFERROR(__xludf.DUMMYFUNCTION("""COMPUTED_VALUE"""),"普通科")</f>
        <v>普通科</v>
      </c>
      <c r="F486" s="9" t="str">
        <f>IFERROR(__xludf.DUMMYFUNCTION("""COMPUTED_VALUE"""),"一年級")</f>
        <v>一年級</v>
      </c>
      <c r="G486" s="10" t="str">
        <f>IFERROR(__xludf.DUMMYFUNCTION("""COMPUTED_VALUE"""),"獎狀")</f>
        <v>獎狀</v>
      </c>
      <c r="H486" s="9"/>
    </row>
    <row r="487">
      <c r="A487" s="5" t="s">
        <v>9</v>
      </c>
      <c r="B487" s="9" t="str">
        <f>IFERROR(__xludf.DUMMYFUNCTION("""COMPUTED_VALUE"""),"張O涵")</f>
        <v>張O涵</v>
      </c>
      <c r="C487" s="9" t="str">
        <f>IFERROR(__xludf.DUMMYFUNCTION("""COMPUTED_VALUE"""),"310*****365.tsshs.ntpc.edu.tw")</f>
        <v>310*****365.tsshs.ntpc.edu.tw</v>
      </c>
      <c r="D487" s="9" t="str">
        <f>IFERROR(__xludf.DUMMYFUNCTION("""COMPUTED_VALUE"""),"辭修學校財團法人新北市私立辭修高級中學")</f>
        <v>辭修學校財團法人新北市私立辭修高級中學</v>
      </c>
      <c r="E487" s="9" t="str">
        <f>IFERROR(__xludf.DUMMYFUNCTION("""COMPUTED_VALUE"""),"普通科")</f>
        <v>普通科</v>
      </c>
      <c r="F487" s="9" t="str">
        <f>IFERROR(__xludf.DUMMYFUNCTION("""COMPUTED_VALUE"""),"一年級")</f>
        <v>一年級</v>
      </c>
      <c r="G487" s="10" t="str">
        <f>IFERROR(__xludf.DUMMYFUNCTION("""COMPUTED_VALUE"""),"■商品卡$200")</f>
        <v>■商品卡$200</v>
      </c>
      <c r="H487" s="9"/>
    </row>
    <row r="488">
      <c r="A488" s="5" t="s">
        <v>9</v>
      </c>
      <c r="B488" s="9" t="str">
        <f>IFERROR(__xludf.DUMMYFUNCTION("""COMPUTED_VALUE"""),"楊O凡")</f>
        <v>楊O凡</v>
      </c>
      <c r="C488" s="9" t="str">
        <f>IFERROR(__xludf.DUMMYFUNCTION("""COMPUTED_VALUE"""),"310*****365.tsshs.ntpc.edu.tw")</f>
        <v>310*****365.tsshs.ntpc.edu.tw</v>
      </c>
      <c r="D488" s="9" t="str">
        <f>IFERROR(__xludf.DUMMYFUNCTION("""COMPUTED_VALUE"""),"辭修學校財團法人新北市私立辭修高級中學")</f>
        <v>辭修學校財團法人新北市私立辭修高級中學</v>
      </c>
      <c r="E488" s="9" t="str">
        <f>IFERROR(__xludf.DUMMYFUNCTION("""COMPUTED_VALUE"""),"普通科")</f>
        <v>普通科</v>
      </c>
      <c r="F488" s="9" t="str">
        <f>IFERROR(__xludf.DUMMYFUNCTION("""COMPUTED_VALUE"""),"一年級")</f>
        <v>一年級</v>
      </c>
      <c r="G488" s="10" t="str">
        <f>IFERROR(__xludf.DUMMYFUNCTION("""COMPUTED_VALUE"""),"獎狀")</f>
        <v>獎狀</v>
      </c>
      <c r="H488" s="9"/>
    </row>
    <row r="489">
      <c r="A489" s="5" t="s">
        <v>9</v>
      </c>
      <c r="B489" s="9" t="str">
        <f>IFERROR(__xludf.DUMMYFUNCTION("""COMPUTED_VALUE"""),"陳O珊")</f>
        <v>陳O珊</v>
      </c>
      <c r="C489" s="9" t="str">
        <f>IFERROR(__xludf.DUMMYFUNCTION("""COMPUTED_VALUE"""),"310*****365.tsshs.ntpc.edu.tw")</f>
        <v>310*****365.tsshs.ntpc.edu.tw</v>
      </c>
      <c r="D489" s="9" t="str">
        <f>IFERROR(__xludf.DUMMYFUNCTION("""COMPUTED_VALUE"""),"辭修學校財團法人新北市私立辭修高級中學")</f>
        <v>辭修學校財團法人新北市私立辭修高級中學</v>
      </c>
      <c r="E489" s="9" t="str">
        <f>IFERROR(__xludf.DUMMYFUNCTION("""COMPUTED_VALUE"""),"普通科")</f>
        <v>普通科</v>
      </c>
      <c r="F489" s="9" t="str">
        <f>IFERROR(__xludf.DUMMYFUNCTION("""COMPUTED_VALUE"""),"一年級")</f>
        <v>一年級</v>
      </c>
      <c r="G489" s="10" t="str">
        <f>IFERROR(__xludf.DUMMYFUNCTION("""COMPUTED_VALUE"""),"獎狀")</f>
        <v>獎狀</v>
      </c>
      <c r="H489" s="9"/>
    </row>
    <row r="490">
      <c r="A490" s="5" t="s">
        <v>9</v>
      </c>
      <c r="B490" s="9" t="str">
        <f>IFERROR(__xludf.DUMMYFUNCTION("""COMPUTED_VALUE"""),"林O嵐")</f>
        <v>林O嵐</v>
      </c>
      <c r="C490" s="9" t="str">
        <f>IFERROR(__xludf.DUMMYFUNCTION("""COMPUTED_VALUE"""),"310*****365.tsshs.ntpc.edu.tw")</f>
        <v>310*****365.tsshs.ntpc.edu.tw</v>
      </c>
      <c r="D490" s="9" t="str">
        <f>IFERROR(__xludf.DUMMYFUNCTION("""COMPUTED_VALUE"""),"辭修學校財團法人新北市私立辭修高級中學")</f>
        <v>辭修學校財團法人新北市私立辭修高級中學</v>
      </c>
      <c r="E490" s="9" t="str">
        <f>IFERROR(__xludf.DUMMYFUNCTION("""COMPUTED_VALUE"""),"普通科")</f>
        <v>普通科</v>
      </c>
      <c r="F490" s="9" t="str">
        <f>IFERROR(__xludf.DUMMYFUNCTION("""COMPUTED_VALUE"""),"一年級")</f>
        <v>一年級</v>
      </c>
      <c r="G490" s="10" t="str">
        <f>IFERROR(__xludf.DUMMYFUNCTION("""COMPUTED_VALUE"""),"獎狀")</f>
        <v>獎狀</v>
      </c>
      <c r="H490" s="9"/>
    </row>
    <row r="491">
      <c r="A491" s="5" t="s">
        <v>9</v>
      </c>
      <c r="B491" s="9" t="str">
        <f>IFERROR(__xludf.DUMMYFUNCTION("""COMPUTED_VALUE"""),"吳O淵")</f>
        <v>吳O淵</v>
      </c>
      <c r="C491" s="9" t="str">
        <f>IFERROR(__xludf.DUMMYFUNCTION("""COMPUTED_VALUE"""),"all*****6.ntpc@mail.edu.tw")</f>
        <v>all*****6.ntpc@mail.edu.tw</v>
      </c>
      <c r="D491" s="9" t="str">
        <f>IFERROR(__xludf.DUMMYFUNCTION("""COMPUTED_VALUE"""),"辭修學校財團法人新北市私立辭修高級中學")</f>
        <v>辭修學校財團法人新北市私立辭修高級中學</v>
      </c>
      <c r="E491" s="9" t="str">
        <f>IFERROR(__xludf.DUMMYFUNCTION("""COMPUTED_VALUE"""),"普通科")</f>
        <v>普通科</v>
      </c>
      <c r="F491" s="9" t="str">
        <f>IFERROR(__xludf.DUMMYFUNCTION("""COMPUTED_VALUE"""),"一年級")</f>
        <v>一年級</v>
      </c>
      <c r="G491" s="10" t="str">
        <f>IFERROR(__xludf.DUMMYFUNCTION("""COMPUTED_VALUE"""),"獎狀")</f>
        <v>獎狀</v>
      </c>
      <c r="H491" s="9"/>
    </row>
    <row r="492">
      <c r="A492" s="5" t="s">
        <v>9</v>
      </c>
      <c r="B492" s="9" t="str">
        <f>IFERROR(__xludf.DUMMYFUNCTION("""COMPUTED_VALUE"""),"賴O齊")</f>
        <v>賴O齊</v>
      </c>
      <c r="C492" s="9" t="str">
        <f>IFERROR(__xludf.DUMMYFUNCTION("""COMPUTED_VALUE"""),"lpe*****79.ntpc@mail.edu.tw")</f>
        <v>lpe*****79.ntpc@mail.edu.tw</v>
      </c>
      <c r="D492" s="9" t="str">
        <f>IFERROR(__xludf.DUMMYFUNCTION("""COMPUTED_VALUE"""),"辭修學校財團法人新北市私立辭修高級中學")</f>
        <v>辭修學校財團法人新北市私立辭修高級中學</v>
      </c>
      <c r="E492" s="9" t="str">
        <f>IFERROR(__xludf.DUMMYFUNCTION("""COMPUTED_VALUE"""),"普通科")</f>
        <v>普通科</v>
      </c>
      <c r="F492" s="9" t="str">
        <f>IFERROR(__xludf.DUMMYFUNCTION("""COMPUTED_VALUE"""),"一年級")</f>
        <v>一年級</v>
      </c>
      <c r="G492" s="10" t="str">
        <f>IFERROR(__xludf.DUMMYFUNCTION("""COMPUTED_VALUE"""),"獎狀")</f>
        <v>獎狀</v>
      </c>
      <c r="H492" s="9"/>
    </row>
    <row r="493">
      <c r="A493" s="5" t="s">
        <v>9</v>
      </c>
      <c r="B493" s="9" t="str">
        <f>IFERROR(__xludf.DUMMYFUNCTION("""COMPUTED_VALUE"""),"賴O珊")</f>
        <v>賴O珊</v>
      </c>
      <c r="C493" s="9" t="str">
        <f>IFERROR(__xludf.DUMMYFUNCTION("""COMPUTED_VALUE"""),"lpe*****20.ntpc@mail.edu.tw")</f>
        <v>lpe*****20.ntpc@mail.edu.tw</v>
      </c>
      <c r="D493" s="9" t="str">
        <f>IFERROR(__xludf.DUMMYFUNCTION("""COMPUTED_VALUE"""),"辭修學校財團法人新北市私立辭修高級中學")</f>
        <v>辭修學校財團法人新北市私立辭修高級中學</v>
      </c>
      <c r="E493" s="9" t="str">
        <f>IFERROR(__xludf.DUMMYFUNCTION("""COMPUTED_VALUE"""),"普通科")</f>
        <v>普通科</v>
      </c>
      <c r="F493" s="9" t="str">
        <f>IFERROR(__xludf.DUMMYFUNCTION("""COMPUTED_VALUE"""),"一年級")</f>
        <v>一年級</v>
      </c>
      <c r="G493" s="10" t="str">
        <f>IFERROR(__xludf.DUMMYFUNCTION("""COMPUTED_VALUE"""),"獎狀")</f>
        <v>獎狀</v>
      </c>
      <c r="H493" s="9"/>
    </row>
    <row r="494">
      <c r="A494" s="5" t="s">
        <v>9</v>
      </c>
      <c r="B494" s="9" t="str">
        <f>IFERROR(__xludf.DUMMYFUNCTION("""COMPUTED_VALUE"""),"林O堃")</f>
        <v>林O堃</v>
      </c>
      <c r="C494" s="9" t="str">
        <f>IFERROR(__xludf.DUMMYFUNCTION("""COMPUTED_VALUE"""),"kev*****.ntpc@mail.edu.tw")</f>
        <v>kev*****.ntpc@mail.edu.tw</v>
      </c>
      <c r="D494" s="9" t="str">
        <f>IFERROR(__xludf.DUMMYFUNCTION("""COMPUTED_VALUE"""),"辭修學校財團法人新北市私立辭修高級中學")</f>
        <v>辭修學校財團法人新北市私立辭修高級中學</v>
      </c>
      <c r="E494" s="9" t="str">
        <f>IFERROR(__xludf.DUMMYFUNCTION("""COMPUTED_VALUE"""),"普通科")</f>
        <v>普通科</v>
      </c>
      <c r="F494" s="9" t="str">
        <f>IFERROR(__xludf.DUMMYFUNCTION("""COMPUTED_VALUE"""),"二年級")</f>
        <v>二年級</v>
      </c>
      <c r="G494" s="10" t="str">
        <f>IFERROR(__xludf.DUMMYFUNCTION("""COMPUTED_VALUE"""),"獎狀")</f>
        <v>獎狀</v>
      </c>
      <c r="H494" s="9"/>
    </row>
    <row r="495">
      <c r="A495" s="5" t="s">
        <v>9</v>
      </c>
      <c r="B495" s="9" t="str">
        <f>IFERROR(__xludf.DUMMYFUNCTION("""COMPUTED_VALUE"""),"林O婕")</f>
        <v>林O婕</v>
      </c>
      <c r="C495" s="9" t="str">
        <f>IFERROR(__xludf.DUMMYFUNCTION("""COMPUTED_VALUE"""),"two*****p@yahoo.com.tw")</f>
        <v>two*****p@yahoo.com.tw</v>
      </c>
      <c r="D495" s="9" t="str">
        <f>IFERROR(__xludf.DUMMYFUNCTION("""COMPUTED_VALUE"""),"新北市立新北高級中學")</f>
        <v>新北市立新北高級中學</v>
      </c>
      <c r="E495" s="9" t="str">
        <f>IFERROR(__xludf.DUMMYFUNCTION("""COMPUTED_VALUE"""),"普通科")</f>
        <v>普通科</v>
      </c>
      <c r="F495" s="9" t="str">
        <f>IFERROR(__xludf.DUMMYFUNCTION("""COMPUTED_VALUE"""),"一年級")</f>
        <v>一年級</v>
      </c>
      <c r="G495" s="10" t="str">
        <f>IFERROR(__xludf.DUMMYFUNCTION("""COMPUTED_VALUE"""),"獎狀")</f>
        <v>獎狀</v>
      </c>
      <c r="H495" s="9"/>
    </row>
    <row r="496">
      <c r="A496" s="5" t="s">
        <v>9</v>
      </c>
      <c r="B496" s="9" t="str">
        <f>IFERROR(__xludf.DUMMYFUNCTION("""COMPUTED_VALUE"""),"賴O伶")</f>
        <v>賴O伶</v>
      </c>
      <c r="C496" s="9" t="str">
        <f>IFERROR(__xludf.DUMMYFUNCTION("""COMPUTED_VALUE"""),"lin*****1651@gmail.com")</f>
        <v>lin*****1651@gmail.com</v>
      </c>
      <c r="D496" s="9" t="str">
        <f>IFERROR(__xludf.DUMMYFUNCTION("""COMPUTED_VALUE"""),"新北市立新北高級中學")</f>
        <v>新北市立新北高級中學</v>
      </c>
      <c r="E496" s="9" t="str">
        <f>IFERROR(__xludf.DUMMYFUNCTION("""COMPUTED_VALUE"""),"普通科")</f>
        <v>普通科</v>
      </c>
      <c r="F496" s="9" t="str">
        <f>IFERROR(__xludf.DUMMYFUNCTION("""COMPUTED_VALUE"""),"二年級")</f>
        <v>二年級</v>
      </c>
      <c r="G496" s="10" t="str">
        <f>IFERROR(__xludf.DUMMYFUNCTION("""COMPUTED_VALUE"""),"獎狀")</f>
        <v>獎狀</v>
      </c>
      <c r="H496" s="9"/>
    </row>
    <row r="497">
      <c r="A497" s="5" t="s">
        <v>9</v>
      </c>
      <c r="B497" s="9" t="str">
        <f>IFERROR(__xludf.DUMMYFUNCTION("""COMPUTED_VALUE"""),"賴O瑤")</f>
        <v>賴O瑤</v>
      </c>
      <c r="C497" s="9" t="str">
        <f>IFERROR(__xludf.DUMMYFUNCTION("""COMPUTED_VALUE"""),"wdp*****77@g.ntsh.ntpc.edu.tw")</f>
        <v>wdp*****77@g.ntsh.ntpc.edu.tw</v>
      </c>
      <c r="D497" s="9" t="str">
        <f>IFERROR(__xludf.DUMMYFUNCTION("""COMPUTED_VALUE"""),"新北市立新北高級中學")</f>
        <v>新北市立新北高級中學</v>
      </c>
      <c r="E497" s="9" t="str">
        <f>IFERROR(__xludf.DUMMYFUNCTION("""COMPUTED_VALUE"""),"普通科")</f>
        <v>普通科</v>
      </c>
      <c r="F497" s="9" t="str">
        <f>IFERROR(__xludf.DUMMYFUNCTION("""COMPUTED_VALUE"""),"二年級")</f>
        <v>二年級</v>
      </c>
      <c r="G497" s="10" t="str">
        <f>IFERROR(__xludf.DUMMYFUNCTION("""COMPUTED_VALUE"""),"獎狀")</f>
        <v>獎狀</v>
      </c>
      <c r="H497" s="9"/>
    </row>
    <row r="498">
      <c r="A498" s="5" t="s">
        <v>9</v>
      </c>
      <c r="B498" s="9" t="str">
        <f>IFERROR(__xludf.DUMMYFUNCTION("""COMPUTED_VALUE"""),"林O誼")</f>
        <v>林O誼</v>
      </c>
      <c r="C498" s="9" t="str">
        <f>IFERROR(__xludf.DUMMYFUNCTION("""COMPUTED_VALUE"""),"dia*****011.ntpc@mail.edu.tw")</f>
        <v>dia*****011.ntpc@mail.edu.tw</v>
      </c>
      <c r="D498" s="9" t="str">
        <f>IFERROR(__xludf.DUMMYFUNCTION("""COMPUTED_VALUE"""),"金陵學校財團法人新北市金陵女子高級中學")</f>
        <v>金陵學校財團法人新北市金陵女子高級中學</v>
      </c>
      <c r="E498" s="9" t="str">
        <f>IFERROR(__xludf.DUMMYFUNCTION("""COMPUTED_VALUE"""),"普通科")</f>
        <v>普通科</v>
      </c>
      <c r="F498" s="9" t="str">
        <f>IFERROR(__xludf.DUMMYFUNCTION("""COMPUTED_VALUE"""),"二年級")</f>
        <v>二年級</v>
      </c>
      <c r="G498" s="10" t="str">
        <f>IFERROR(__xludf.DUMMYFUNCTION("""COMPUTED_VALUE"""),"獎狀")</f>
        <v>獎狀</v>
      </c>
      <c r="H498" s="9"/>
    </row>
    <row r="499">
      <c r="A499" s="5" t="s">
        <v>9</v>
      </c>
      <c r="B499" s="9" t="str">
        <f>IFERROR(__xludf.DUMMYFUNCTION("""COMPUTED_VALUE"""),"蔡O潼")</f>
        <v>蔡O潼</v>
      </c>
      <c r="C499" s="9" t="str">
        <f>IFERROR(__xludf.DUMMYFUNCTION("""COMPUTED_VALUE"""),"100*****ia@gmail.com")</f>
        <v>100*****ia@gmail.com</v>
      </c>
      <c r="D499" s="9" t="str">
        <f>IFERROR(__xludf.DUMMYFUNCTION("""COMPUTED_VALUE"""),"金陵學校財團法人新北市金陵女子高級中學")</f>
        <v>金陵學校財團法人新北市金陵女子高級中學</v>
      </c>
      <c r="E499" s="9" t="str">
        <f>IFERROR(__xludf.DUMMYFUNCTION("""COMPUTED_VALUE"""),"普通科")</f>
        <v>普通科</v>
      </c>
      <c r="F499" s="9" t="str">
        <f>IFERROR(__xludf.DUMMYFUNCTION("""COMPUTED_VALUE"""),"二年級")</f>
        <v>二年級</v>
      </c>
      <c r="G499" s="10" t="str">
        <f>IFERROR(__xludf.DUMMYFUNCTION("""COMPUTED_VALUE"""),"獎狀")</f>
        <v>獎狀</v>
      </c>
      <c r="H499" s="9"/>
    </row>
    <row r="500">
      <c r="A500" s="5" t="s">
        <v>9</v>
      </c>
      <c r="B500" s="9" t="str">
        <f>IFERROR(__xludf.DUMMYFUNCTION("""COMPUTED_VALUE"""),"林O均")</f>
        <v>林O均</v>
      </c>
      <c r="C500" s="9" t="str">
        <f>IFERROR(__xludf.DUMMYFUNCTION("""COMPUTED_VALUE"""),"eli*****30.ntpc@mail.edu.tw")</f>
        <v>eli*****30.ntpc@mail.edu.tw</v>
      </c>
      <c r="D500" s="9" t="str">
        <f>IFERROR(__xludf.DUMMYFUNCTION("""COMPUTED_VALUE"""),"金陵學校財團法人新北市金陵女子高級中學")</f>
        <v>金陵學校財團法人新北市金陵女子高級中學</v>
      </c>
      <c r="E500" s="9" t="str">
        <f>IFERROR(__xludf.DUMMYFUNCTION("""COMPUTED_VALUE"""),"普通科")</f>
        <v>普通科</v>
      </c>
      <c r="F500" s="9" t="str">
        <f>IFERROR(__xludf.DUMMYFUNCTION("""COMPUTED_VALUE"""),"三年級")</f>
        <v>三年級</v>
      </c>
      <c r="G500" s="10" t="str">
        <f>IFERROR(__xludf.DUMMYFUNCTION("""COMPUTED_VALUE"""),"獎狀")</f>
        <v>獎狀</v>
      </c>
      <c r="H500" s="9"/>
    </row>
    <row r="501">
      <c r="A501" s="5" t="s">
        <v>9</v>
      </c>
      <c r="B501" s="9" t="str">
        <f>IFERROR(__xludf.DUMMYFUNCTION("""COMPUTED_VALUE"""),"田O祈")</f>
        <v>田O祈</v>
      </c>
      <c r="C501" s="9" t="str">
        <f>IFERROR(__xludf.DUMMYFUNCTION("""COMPUTED_VALUE"""),"b29*****@apps.ntpc.edu.tw")</f>
        <v>b29*****@apps.ntpc.edu.tw</v>
      </c>
      <c r="D501" s="9" t="str">
        <f>IFERROR(__xludf.DUMMYFUNCTION("""COMPUTED_VALUE"""),"新北市立三重高級中學")</f>
        <v>新北市立三重高級中學</v>
      </c>
      <c r="E501" s="9" t="str">
        <f>IFERROR(__xludf.DUMMYFUNCTION("""COMPUTED_VALUE"""),"普通科")</f>
        <v>普通科</v>
      </c>
      <c r="F501" s="9" t="str">
        <f>IFERROR(__xludf.DUMMYFUNCTION("""COMPUTED_VALUE"""),"二年級")</f>
        <v>二年級</v>
      </c>
      <c r="G501" s="10" t="str">
        <f>IFERROR(__xludf.DUMMYFUNCTION("""COMPUTED_VALUE"""),"獎狀")</f>
        <v>獎狀</v>
      </c>
      <c r="H501" s="9"/>
    </row>
    <row r="502">
      <c r="A502" s="5" t="s">
        <v>9</v>
      </c>
      <c r="B502" s="9" t="str">
        <f>IFERROR(__xludf.DUMMYFUNCTION("""COMPUTED_VALUE"""),"王O淇")</f>
        <v>王O淇</v>
      </c>
      <c r="C502" s="9" t="str">
        <f>IFERROR(__xludf.DUMMYFUNCTION("""COMPUTED_VALUE"""),"slj*****0001.tp@mail.edu.tw")</f>
        <v>slj*****0001.tp@mail.edu.tw</v>
      </c>
      <c r="D502" s="9" t="str">
        <f>IFERROR(__xludf.DUMMYFUNCTION("""COMPUTED_VALUE"""),"新北市立三重高級中學")</f>
        <v>新北市立三重高級中學</v>
      </c>
      <c r="E502" s="9" t="str">
        <f>IFERROR(__xludf.DUMMYFUNCTION("""COMPUTED_VALUE"""),"普通科")</f>
        <v>普通科</v>
      </c>
      <c r="F502" s="9" t="str">
        <f>IFERROR(__xludf.DUMMYFUNCTION("""COMPUTED_VALUE"""),"二年級")</f>
        <v>二年級</v>
      </c>
      <c r="G502" s="10" t="str">
        <f>IFERROR(__xludf.DUMMYFUNCTION("""COMPUTED_VALUE"""),"獎狀")</f>
        <v>獎狀</v>
      </c>
      <c r="H502" s="9"/>
    </row>
    <row r="503">
      <c r="A503" s="5" t="s">
        <v>9</v>
      </c>
      <c r="B503" s="9" t="str">
        <f>IFERROR(__xludf.DUMMYFUNCTION("""COMPUTED_VALUE"""),"楊O堯")</f>
        <v>楊O堯</v>
      </c>
      <c r="C503" s="9" t="str">
        <f>IFERROR(__xludf.DUMMYFUNCTION("""COMPUTED_VALUE"""),"jya*****3@gmail.com")</f>
        <v>jya*****3@gmail.com</v>
      </c>
      <c r="D503" s="9" t="str">
        <f>IFERROR(__xludf.DUMMYFUNCTION("""COMPUTED_VALUE"""),"新北市立三重高級中學")</f>
        <v>新北市立三重高級中學</v>
      </c>
      <c r="E503" s="9" t="str">
        <f>IFERROR(__xludf.DUMMYFUNCTION("""COMPUTED_VALUE"""),"普通科")</f>
        <v>普通科</v>
      </c>
      <c r="F503" s="9" t="str">
        <f>IFERROR(__xludf.DUMMYFUNCTION("""COMPUTED_VALUE"""),"二年級")</f>
        <v>二年級</v>
      </c>
      <c r="G503" s="10" t="str">
        <f>IFERROR(__xludf.DUMMYFUNCTION("""COMPUTED_VALUE"""),"獎狀")</f>
        <v>獎狀</v>
      </c>
      <c r="H503" s="9"/>
    </row>
    <row r="504">
      <c r="A504" s="5" t="s">
        <v>9</v>
      </c>
      <c r="B504" s="9" t="str">
        <f>IFERROR(__xludf.DUMMYFUNCTION("""COMPUTED_VALUE"""),"蔡O芳")</f>
        <v>蔡O芳</v>
      </c>
      <c r="C504" s="9" t="str">
        <f>IFERROR(__xludf.DUMMYFUNCTION("""COMPUTED_VALUE"""),"bel*****1@apps.ntpc.edu.tw")</f>
        <v>bel*****1@apps.ntpc.edu.tw</v>
      </c>
      <c r="D504" s="9" t="str">
        <f>IFERROR(__xludf.DUMMYFUNCTION("""COMPUTED_VALUE"""),"新北市立三重高級中學")</f>
        <v>新北市立三重高級中學</v>
      </c>
      <c r="E504" s="9" t="str">
        <f>IFERROR(__xludf.DUMMYFUNCTION("""COMPUTED_VALUE"""),"普通科")</f>
        <v>普通科</v>
      </c>
      <c r="F504" s="9" t="str">
        <f>IFERROR(__xludf.DUMMYFUNCTION("""COMPUTED_VALUE"""),"二年級")</f>
        <v>二年級</v>
      </c>
      <c r="G504" s="10" t="str">
        <f>IFERROR(__xludf.DUMMYFUNCTION("""COMPUTED_VALUE"""),"獎狀")</f>
        <v>獎狀</v>
      </c>
      <c r="H504" s="9"/>
    </row>
    <row r="505">
      <c r="A505" s="5" t="s">
        <v>9</v>
      </c>
      <c r="B505" s="9" t="str">
        <f>IFERROR(__xludf.DUMMYFUNCTION("""COMPUTED_VALUE"""),"葉O葳")</f>
        <v>葉O葳</v>
      </c>
      <c r="C505" s="9" t="str">
        <f>IFERROR(__xludf.DUMMYFUNCTION("""COMPUTED_VALUE"""),"sop*****h961026@gmail.com")</f>
        <v>sop*****h961026@gmail.com</v>
      </c>
      <c r="D505" s="9" t="str">
        <f>IFERROR(__xludf.DUMMYFUNCTION("""COMPUTED_VALUE"""),"新北市立三重高級中學")</f>
        <v>新北市立三重高級中學</v>
      </c>
      <c r="E505" s="9" t="str">
        <f>IFERROR(__xludf.DUMMYFUNCTION("""COMPUTED_VALUE"""),"普通科")</f>
        <v>普通科</v>
      </c>
      <c r="F505" s="9" t="str">
        <f>IFERROR(__xludf.DUMMYFUNCTION("""COMPUTED_VALUE"""),"二年級")</f>
        <v>二年級</v>
      </c>
      <c r="G505" s="10" t="str">
        <f>IFERROR(__xludf.DUMMYFUNCTION("""COMPUTED_VALUE"""),"獎狀")</f>
        <v>獎狀</v>
      </c>
      <c r="H505" s="9"/>
    </row>
    <row r="506">
      <c r="A506" s="5" t="s">
        <v>9</v>
      </c>
      <c r="B506" s="9" t="str">
        <f>IFERROR(__xludf.DUMMYFUNCTION("""COMPUTED_VALUE"""),"陳O榆")</f>
        <v>陳O榆</v>
      </c>
      <c r="C506" s="9" t="str">
        <f>IFERROR(__xludf.DUMMYFUNCTION("""COMPUTED_VALUE"""),"iam*****anchen@gmail.com")</f>
        <v>iam*****anchen@gmail.com</v>
      </c>
      <c r="D506" s="9" t="str">
        <f>IFERROR(__xludf.DUMMYFUNCTION("""COMPUTED_VALUE"""),"新北市立三重高級中學")</f>
        <v>新北市立三重高級中學</v>
      </c>
      <c r="E506" s="9" t="str">
        <f>IFERROR(__xludf.DUMMYFUNCTION("""COMPUTED_VALUE"""),"普通科")</f>
        <v>普通科</v>
      </c>
      <c r="F506" s="9" t="str">
        <f>IFERROR(__xludf.DUMMYFUNCTION("""COMPUTED_VALUE"""),"二年級")</f>
        <v>二年級</v>
      </c>
      <c r="G506" s="10" t="str">
        <f>IFERROR(__xludf.DUMMYFUNCTION("""COMPUTED_VALUE"""),"獎狀")</f>
        <v>獎狀</v>
      </c>
      <c r="H506" s="9"/>
    </row>
    <row r="507">
      <c r="A507" s="5" t="s">
        <v>9</v>
      </c>
      <c r="B507" s="9" t="str">
        <f>IFERROR(__xludf.DUMMYFUNCTION("""COMPUTED_VALUE"""),"謝O妍")</f>
        <v>謝O妍</v>
      </c>
      <c r="C507" s="9" t="str">
        <f>IFERROR(__xludf.DUMMYFUNCTION("""COMPUTED_VALUE"""),"sp1*****15@mail.edu.tw")</f>
        <v>sp1*****15@mail.edu.tw</v>
      </c>
      <c r="D507" s="9" t="str">
        <f>IFERROR(__xludf.DUMMYFUNCTION("""COMPUTED_VALUE"""),"新北市立三重高級中學")</f>
        <v>新北市立三重高級中學</v>
      </c>
      <c r="E507" s="9" t="str">
        <f>IFERROR(__xludf.DUMMYFUNCTION("""COMPUTED_VALUE"""),"普通科")</f>
        <v>普通科</v>
      </c>
      <c r="F507" s="9" t="str">
        <f>IFERROR(__xludf.DUMMYFUNCTION("""COMPUTED_VALUE"""),"二年級")</f>
        <v>二年級</v>
      </c>
      <c r="G507" s="10" t="str">
        <f>IFERROR(__xludf.DUMMYFUNCTION("""COMPUTED_VALUE"""),"獎狀")</f>
        <v>獎狀</v>
      </c>
      <c r="H507" s="9"/>
    </row>
    <row r="508">
      <c r="A508" s="5" t="s">
        <v>9</v>
      </c>
      <c r="B508" s="9" t="str">
        <f>IFERROR(__xludf.DUMMYFUNCTION("""COMPUTED_VALUE"""),"呂O穎")</f>
        <v>呂O穎</v>
      </c>
      <c r="C508" s="9" t="str">
        <f>IFERROR(__xludf.DUMMYFUNCTION("""COMPUTED_VALUE"""),"ali*****6.ntpc@mail.edu.tw")</f>
        <v>ali*****6.ntpc@mail.edu.tw</v>
      </c>
      <c r="D508" s="9" t="str">
        <f>IFERROR(__xludf.DUMMYFUNCTION("""COMPUTED_VALUE"""),"新北市立三重高級中學")</f>
        <v>新北市立三重高級中學</v>
      </c>
      <c r="E508" s="9" t="str">
        <f>IFERROR(__xludf.DUMMYFUNCTION("""COMPUTED_VALUE"""),"普通科")</f>
        <v>普通科</v>
      </c>
      <c r="F508" s="9" t="str">
        <f>IFERROR(__xludf.DUMMYFUNCTION("""COMPUTED_VALUE"""),"二年級")</f>
        <v>二年級</v>
      </c>
      <c r="G508" s="10" t="str">
        <f>IFERROR(__xludf.DUMMYFUNCTION("""COMPUTED_VALUE"""),"獎狀")</f>
        <v>獎狀</v>
      </c>
      <c r="H508" s="9"/>
    </row>
    <row r="509">
      <c r="A509" s="5" t="s">
        <v>9</v>
      </c>
      <c r="B509" s="9" t="str">
        <f>IFERROR(__xludf.DUMMYFUNCTION("""COMPUTED_VALUE"""),"楊O晴")</f>
        <v>楊O晴</v>
      </c>
      <c r="C509" s="9" t="str">
        <f>IFERROR(__xludf.DUMMYFUNCTION("""COMPUTED_VALUE"""),"yan*****y0112@gmail.com")</f>
        <v>yan*****y0112@gmail.com</v>
      </c>
      <c r="D509" s="9" t="str">
        <f>IFERROR(__xludf.DUMMYFUNCTION("""COMPUTED_VALUE"""),"新北市立三重高級中學")</f>
        <v>新北市立三重高級中學</v>
      </c>
      <c r="E509" s="9" t="str">
        <f>IFERROR(__xludf.DUMMYFUNCTION("""COMPUTED_VALUE"""),"普通科")</f>
        <v>普通科</v>
      </c>
      <c r="F509" s="9" t="str">
        <f>IFERROR(__xludf.DUMMYFUNCTION("""COMPUTED_VALUE"""),"二年級")</f>
        <v>二年級</v>
      </c>
      <c r="G509" s="10" t="str">
        <f>IFERROR(__xludf.DUMMYFUNCTION("""COMPUTED_VALUE"""),"獎狀")</f>
        <v>獎狀</v>
      </c>
      <c r="H509" s="9"/>
    </row>
    <row r="510">
      <c r="A510" s="5" t="s">
        <v>9</v>
      </c>
      <c r="B510" s="9" t="str">
        <f>IFERROR(__xludf.DUMMYFUNCTION("""COMPUTED_VALUE"""),"陳O琪")</f>
        <v>陳O琪</v>
      </c>
      <c r="C510" s="9" t="str">
        <f>IFERROR(__xludf.DUMMYFUNCTION("""COMPUTED_VALUE"""),"dor*****22.ntpc@mail.edu.tw")</f>
        <v>dor*****22.ntpc@mail.edu.tw</v>
      </c>
      <c r="D510" s="9" t="str">
        <f>IFERROR(__xludf.DUMMYFUNCTION("""COMPUTED_VALUE"""),"新北市立三重高級中學")</f>
        <v>新北市立三重高級中學</v>
      </c>
      <c r="E510" s="9" t="str">
        <f>IFERROR(__xludf.DUMMYFUNCTION("""COMPUTED_VALUE"""),"普通科")</f>
        <v>普通科</v>
      </c>
      <c r="F510" s="9" t="str">
        <f>IFERROR(__xludf.DUMMYFUNCTION("""COMPUTED_VALUE"""),"二年級")</f>
        <v>二年級</v>
      </c>
      <c r="G510" s="10" t="str">
        <f>IFERROR(__xludf.DUMMYFUNCTION("""COMPUTED_VALUE"""),"獎狀")</f>
        <v>獎狀</v>
      </c>
      <c r="H510" s="9"/>
    </row>
    <row r="511">
      <c r="A511" s="5" t="s">
        <v>9</v>
      </c>
      <c r="B511" s="9" t="str">
        <f>IFERROR(__xludf.DUMMYFUNCTION("""COMPUTED_VALUE"""),"林O臻")</f>
        <v>林O臻</v>
      </c>
      <c r="C511" s="9" t="str">
        <f>IFERROR(__xludf.DUMMYFUNCTION("""COMPUTED_VALUE"""),"a10*****.ntpc@mail.edu.tw")</f>
        <v>a10*****.ntpc@mail.edu.tw</v>
      </c>
      <c r="D511" s="9" t="str">
        <f>IFERROR(__xludf.DUMMYFUNCTION("""COMPUTED_VALUE"""),"新北市立三重高級中學")</f>
        <v>新北市立三重高級中學</v>
      </c>
      <c r="E511" s="9" t="str">
        <f>IFERROR(__xludf.DUMMYFUNCTION("""COMPUTED_VALUE"""),"普通科")</f>
        <v>普通科</v>
      </c>
      <c r="F511" s="9" t="str">
        <f>IFERROR(__xludf.DUMMYFUNCTION("""COMPUTED_VALUE"""),"二年級")</f>
        <v>二年級</v>
      </c>
      <c r="G511" s="10" t="str">
        <f>IFERROR(__xludf.DUMMYFUNCTION("""COMPUTED_VALUE"""),"■商品卡$200")</f>
        <v>■商品卡$200</v>
      </c>
      <c r="H511" s="9"/>
    </row>
    <row r="512">
      <c r="A512" s="5" t="s">
        <v>9</v>
      </c>
      <c r="B512" s="9" t="str">
        <f>IFERROR(__xludf.DUMMYFUNCTION("""COMPUTED_VALUE"""),"鄭O岑")</f>
        <v>鄭O岑</v>
      </c>
      <c r="C512" s="9" t="str">
        <f>IFERROR(__xludf.DUMMYFUNCTION("""COMPUTED_VALUE"""),"kat*****830.ntpc@mail.edu.tw")</f>
        <v>kat*****830.ntpc@mail.edu.tw</v>
      </c>
      <c r="D512" s="9" t="str">
        <f>IFERROR(__xludf.DUMMYFUNCTION("""COMPUTED_VALUE"""),"新北市立三重高級中學")</f>
        <v>新北市立三重高級中學</v>
      </c>
      <c r="E512" s="9" t="str">
        <f>IFERROR(__xludf.DUMMYFUNCTION("""COMPUTED_VALUE"""),"普通科")</f>
        <v>普通科</v>
      </c>
      <c r="F512" s="9" t="str">
        <f>IFERROR(__xludf.DUMMYFUNCTION("""COMPUTED_VALUE"""),"二年級")</f>
        <v>二年級</v>
      </c>
      <c r="G512" s="10" t="str">
        <f>IFERROR(__xludf.DUMMYFUNCTION("""COMPUTED_VALUE"""),"獎狀")</f>
        <v>獎狀</v>
      </c>
      <c r="H512" s="9"/>
    </row>
    <row r="513">
      <c r="A513" s="5" t="s">
        <v>9</v>
      </c>
      <c r="B513" s="9" t="str">
        <f>IFERROR(__xludf.DUMMYFUNCTION("""COMPUTED_VALUE"""),"林O蓁")</f>
        <v>林O蓁</v>
      </c>
      <c r="C513" s="9" t="str">
        <f>IFERROR(__xludf.DUMMYFUNCTION("""COMPUTED_VALUE"""),"vic*****996@gmail.com")</f>
        <v>vic*****996@gmail.com</v>
      </c>
      <c r="D513" s="9" t="str">
        <f>IFERROR(__xludf.DUMMYFUNCTION("""COMPUTED_VALUE"""),"新北市立三重高級中學")</f>
        <v>新北市立三重高級中學</v>
      </c>
      <c r="E513" s="9" t="str">
        <f>IFERROR(__xludf.DUMMYFUNCTION("""COMPUTED_VALUE"""),"普通科")</f>
        <v>普通科</v>
      </c>
      <c r="F513" s="9" t="str">
        <f>IFERROR(__xludf.DUMMYFUNCTION("""COMPUTED_VALUE"""),"二年級")</f>
        <v>二年級</v>
      </c>
      <c r="G513" s="10" t="str">
        <f>IFERROR(__xludf.DUMMYFUNCTION("""COMPUTED_VALUE"""),"獎狀")</f>
        <v>獎狀</v>
      </c>
      <c r="H513" s="9"/>
    </row>
    <row r="514">
      <c r="A514" s="5" t="s">
        <v>9</v>
      </c>
      <c r="B514" s="9" t="str">
        <f>IFERROR(__xludf.DUMMYFUNCTION("""COMPUTED_VALUE"""),"蘇O捷")</f>
        <v>蘇O捷</v>
      </c>
      <c r="C514" s="9" t="str">
        <f>IFERROR(__xludf.DUMMYFUNCTION("""COMPUTED_VALUE"""),"jes*****1@apps.ntpc.edu.tw")</f>
        <v>jes*****1@apps.ntpc.edu.tw</v>
      </c>
      <c r="D514" s="9" t="str">
        <f>IFERROR(__xludf.DUMMYFUNCTION("""COMPUTED_VALUE"""),"新北市立三重高級中學")</f>
        <v>新北市立三重高級中學</v>
      </c>
      <c r="E514" s="9" t="str">
        <f>IFERROR(__xludf.DUMMYFUNCTION("""COMPUTED_VALUE"""),"普通科")</f>
        <v>普通科</v>
      </c>
      <c r="F514" s="9" t="str">
        <f>IFERROR(__xludf.DUMMYFUNCTION("""COMPUTED_VALUE"""),"二年級")</f>
        <v>二年級</v>
      </c>
      <c r="G514" s="10" t="str">
        <f>IFERROR(__xludf.DUMMYFUNCTION("""COMPUTED_VALUE"""),"獎狀")</f>
        <v>獎狀</v>
      </c>
      <c r="H514" s="9"/>
    </row>
    <row r="515">
      <c r="A515" s="5" t="s">
        <v>9</v>
      </c>
      <c r="B515" s="9" t="str">
        <f>IFERROR(__xludf.DUMMYFUNCTION("""COMPUTED_VALUE"""),"趙O涵")</f>
        <v>趙O涵</v>
      </c>
      <c r="C515" s="9" t="str">
        <f>IFERROR(__xludf.DUMMYFUNCTION("""COMPUTED_VALUE"""),"110*****073@tqjh.ntpc.edu.tw")</f>
        <v>110*****073@tqjh.ntpc.edu.tw</v>
      </c>
      <c r="D515" s="9" t="str">
        <f>IFERROR(__xludf.DUMMYFUNCTION("""COMPUTED_VALUE"""),"新北市立三重高級中學")</f>
        <v>新北市立三重高級中學</v>
      </c>
      <c r="E515" s="9" t="str">
        <f>IFERROR(__xludf.DUMMYFUNCTION("""COMPUTED_VALUE"""),"普通科")</f>
        <v>普通科</v>
      </c>
      <c r="F515" s="9" t="str">
        <f>IFERROR(__xludf.DUMMYFUNCTION("""COMPUTED_VALUE"""),"二年級")</f>
        <v>二年級</v>
      </c>
      <c r="G515" s="10" t="str">
        <f>IFERROR(__xludf.DUMMYFUNCTION("""COMPUTED_VALUE"""),"獎狀")</f>
        <v>獎狀</v>
      </c>
      <c r="H515" s="9"/>
    </row>
    <row r="516">
      <c r="A516" s="5" t="s">
        <v>9</v>
      </c>
      <c r="B516" s="9" t="str">
        <f>IFERROR(__xludf.DUMMYFUNCTION("""COMPUTED_VALUE"""),"謝O鈞")</f>
        <v>謝O鈞</v>
      </c>
      <c r="C516" s="9" t="str">
        <f>IFERROR(__xludf.DUMMYFUNCTION("""COMPUTED_VALUE"""),"miy*****23@apps.ntpc.edu.tw")</f>
        <v>miy*****23@apps.ntpc.edu.tw</v>
      </c>
      <c r="D516" s="9" t="str">
        <f>IFERROR(__xludf.DUMMYFUNCTION("""COMPUTED_VALUE"""),"新北市立三重高級中學")</f>
        <v>新北市立三重高級中學</v>
      </c>
      <c r="E516" s="9" t="str">
        <f>IFERROR(__xludf.DUMMYFUNCTION("""COMPUTED_VALUE"""),"普通科")</f>
        <v>普通科</v>
      </c>
      <c r="F516" s="9" t="str">
        <f>IFERROR(__xludf.DUMMYFUNCTION("""COMPUTED_VALUE"""),"二年級")</f>
        <v>二年級</v>
      </c>
      <c r="G516" s="10" t="str">
        <f>IFERROR(__xludf.DUMMYFUNCTION("""COMPUTED_VALUE"""),"獎狀")</f>
        <v>獎狀</v>
      </c>
      <c r="H516" s="9"/>
    </row>
    <row r="517">
      <c r="A517" s="5" t="s">
        <v>9</v>
      </c>
      <c r="B517" s="9" t="str">
        <f>IFERROR(__xludf.DUMMYFUNCTION("""COMPUTED_VALUE"""),"廖O妤")</f>
        <v>廖O妤</v>
      </c>
      <c r="C517" s="9" t="str">
        <f>IFERROR(__xludf.DUMMYFUNCTION("""COMPUTED_VALUE"""),"iri*****8158@gmail.com")</f>
        <v>iri*****8158@gmail.com</v>
      </c>
      <c r="D517" s="9" t="str">
        <f>IFERROR(__xludf.DUMMYFUNCTION("""COMPUTED_VALUE"""),"新北市立三重高級中學")</f>
        <v>新北市立三重高級中學</v>
      </c>
      <c r="E517" s="9" t="str">
        <f>IFERROR(__xludf.DUMMYFUNCTION("""COMPUTED_VALUE"""),"普通科")</f>
        <v>普通科</v>
      </c>
      <c r="F517" s="9" t="str">
        <f>IFERROR(__xludf.DUMMYFUNCTION("""COMPUTED_VALUE"""),"二年級")</f>
        <v>二年級</v>
      </c>
      <c r="G517" s="10" t="str">
        <f>IFERROR(__xludf.DUMMYFUNCTION("""COMPUTED_VALUE"""),"獎狀")</f>
        <v>獎狀</v>
      </c>
      <c r="H517" s="9"/>
    </row>
    <row r="518">
      <c r="A518" s="5" t="s">
        <v>9</v>
      </c>
      <c r="B518" s="9" t="str">
        <f>IFERROR(__xludf.DUMMYFUNCTION("""COMPUTED_VALUE"""),"徐O芯")</f>
        <v>徐O芯</v>
      </c>
      <c r="C518" s="9" t="str">
        <f>IFERROR(__xludf.DUMMYFUNCTION("""COMPUTED_VALUE"""),"hsu*****4@gmail.com")</f>
        <v>hsu*****4@gmail.com</v>
      </c>
      <c r="D518" s="9" t="str">
        <f>IFERROR(__xludf.DUMMYFUNCTION("""COMPUTED_VALUE"""),"新北市立三重高級中學")</f>
        <v>新北市立三重高級中學</v>
      </c>
      <c r="E518" s="9" t="str">
        <f>IFERROR(__xludf.DUMMYFUNCTION("""COMPUTED_VALUE"""),"普通科")</f>
        <v>普通科</v>
      </c>
      <c r="F518" s="9" t="str">
        <f>IFERROR(__xludf.DUMMYFUNCTION("""COMPUTED_VALUE"""),"二年級")</f>
        <v>二年級</v>
      </c>
      <c r="G518" s="10" t="str">
        <f>IFERROR(__xludf.DUMMYFUNCTION("""COMPUTED_VALUE"""),"獎狀")</f>
        <v>獎狀</v>
      </c>
      <c r="H518" s="9"/>
    </row>
    <row r="519">
      <c r="A519" s="5" t="s">
        <v>9</v>
      </c>
      <c r="B519" s="9" t="str">
        <f>IFERROR(__xludf.DUMMYFUNCTION("""COMPUTED_VALUE"""),"吳O璇")</f>
        <v>吳O璇</v>
      </c>
      <c r="C519" s="9" t="str">
        <f>IFERROR(__xludf.DUMMYFUNCTION("""COMPUTED_VALUE"""),"ww0*****4366@gmail.com")</f>
        <v>ww0*****4366@gmail.com</v>
      </c>
      <c r="D519" s="9" t="str">
        <f>IFERROR(__xludf.DUMMYFUNCTION("""COMPUTED_VALUE"""),"新北市立三重高級中學")</f>
        <v>新北市立三重高級中學</v>
      </c>
      <c r="E519" s="9" t="str">
        <f>IFERROR(__xludf.DUMMYFUNCTION("""COMPUTED_VALUE"""),"普通科")</f>
        <v>普通科</v>
      </c>
      <c r="F519" s="9" t="str">
        <f>IFERROR(__xludf.DUMMYFUNCTION("""COMPUTED_VALUE"""),"二年級")</f>
        <v>二年級</v>
      </c>
      <c r="G519" s="10" t="str">
        <f>IFERROR(__xludf.DUMMYFUNCTION("""COMPUTED_VALUE"""),"獎狀")</f>
        <v>獎狀</v>
      </c>
      <c r="H519" s="9"/>
    </row>
    <row r="520">
      <c r="A520" s="5" t="s">
        <v>9</v>
      </c>
      <c r="B520" s="9" t="str">
        <f>IFERROR(__xludf.DUMMYFUNCTION("""COMPUTED_VALUE"""),"林O潁")</f>
        <v>林O潁</v>
      </c>
      <c r="C520" s="9" t="str">
        <f>IFERROR(__xludf.DUMMYFUNCTION("""COMPUTED_VALUE"""),"gra*****ce0403@gmail.com")</f>
        <v>gra*****ce0403@gmail.com</v>
      </c>
      <c r="D520" s="9" t="str">
        <f>IFERROR(__xludf.DUMMYFUNCTION("""COMPUTED_VALUE"""),"新北市立三重高級中學")</f>
        <v>新北市立三重高級中學</v>
      </c>
      <c r="E520" s="9" t="str">
        <f>IFERROR(__xludf.DUMMYFUNCTION("""COMPUTED_VALUE"""),"普通科")</f>
        <v>普通科</v>
      </c>
      <c r="F520" s="9" t="str">
        <f>IFERROR(__xludf.DUMMYFUNCTION("""COMPUTED_VALUE"""),"二年級")</f>
        <v>二年級</v>
      </c>
      <c r="G520" s="10" t="str">
        <f>IFERROR(__xludf.DUMMYFUNCTION("""COMPUTED_VALUE"""),"獎狀")</f>
        <v>獎狀</v>
      </c>
      <c r="H520" s="9"/>
    </row>
    <row r="521">
      <c r="A521" s="5" t="s">
        <v>9</v>
      </c>
      <c r="B521" s="9" t="str">
        <f>IFERROR(__xludf.DUMMYFUNCTION("""COMPUTED_VALUE"""),"黃O慈")</f>
        <v>黃O慈</v>
      </c>
      <c r="C521" s="9" t="str">
        <f>IFERROR(__xludf.DUMMYFUNCTION("""COMPUTED_VALUE"""),"ce5*****pps.ntpc.edu.tw")</f>
        <v>ce5*****pps.ntpc.edu.tw</v>
      </c>
      <c r="D521" s="9" t="str">
        <f>IFERROR(__xludf.DUMMYFUNCTION("""COMPUTED_VALUE"""),"新北市立三重高級中學")</f>
        <v>新北市立三重高級中學</v>
      </c>
      <c r="E521" s="9" t="str">
        <f>IFERROR(__xludf.DUMMYFUNCTION("""COMPUTED_VALUE"""),"普通科")</f>
        <v>普通科</v>
      </c>
      <c r="F521" s="9" t="str">
        <f>IFERROR(__xludf.DUMMYFUNCTION("""COMPUTED_VALUE"""),"二年級")</f>
        <v>二年級</v>
      </c>
      <c r="G521" s="10" t="str">
        <f>IFERROR(__xludf.DUMMYFUNCTION("""COMPUTED_VALUE"""),"■商品卡$200")</f>
        <v>■商品卡$200</v>
      </c>
      <c r="H521" s="9"/>
    </row>
    <row r="522">
      <c r="A522" s="5" t="s">
        <v>9</v>
      </c>
      <c r="B522" s="9" t="str">
        <f>IFERROR(__xludf.DUMMYFUNCTION("""COMPUTED_VALUE"""),"劉O妡")</f>
        <v>劉O妡</v>
      </c>
      <c r="C522" s="9" t="str">
        <f>IFERROR(__xludf.DUMMYFUNCTION("""COMPUTED_VALUE"""),"liu*****1220@gmail.com")</f>
        <v>liu*****1220@gmail.com</v>
      </c>
      <c r="D522" s="9" t="str">
        <f>IFERROR(__xludf.DUMMYFUNCTION("""COMPUTED_VALUE"""),"新北市立三重高級中學")</f>
        <v>新北市立三重高級中學</v>
      </c>
      <c r="E522" s="9" t="str">
        <f>IFERROR(__xludf.DUMMYFUNCTION("""COMPUTED_VALUE"""),"普通科")</f>
        <v>普通科</v>
      </c>
      <c r="F522" s="9" t="str">
        <f>IFERROR(__xludf.DUMMYFUNCTION("""COMPUTED_VALUE"""),"二年級")</f>
        <v>二年級</v>
      </c>
      <c r="G522" s="10" t="str">
        <f>IFERROR(__xludf.DUMMYFUNCTION("""COMPUTED_VALUE"""),"獎狀")</f>
        <v>獎狀</v>
      </c>
      <c r="H522" s="9"/>
    </row>
    <row r="523">
      <c r="A523" s="5" t="s">
        <v>9</v>
      </c>
      <c r="B523" s="9" t="str">
        <f>IFERROR(__xludf.DUMMYFUNCTION("""COMPUTED_VALUE"""),"邱O筠")</f>
        <v>邱O筠</v>
      </c>
      <c r="C523" s="9" t="str">
        <f>IFERROR(__xludf.DUMMYFUNCTION("""COMPUTED_VALUE"""),"twe*****27@ntpc.edu.tw")</f>
        <v>twe*****27@ntpc.edu.tw</v>
      </c>
      <c r="D523" s="9" t="str">
        <f>IFERROR(__xludf.DUMMYFUNCTION("""COMPUTED_VALUE"""),"新北市立三重高級中學")</f>
        <v>新北市立三重高級中學</v>
      </c>
      <c r="E523" s="9" t="str">
        <f>IFERROR(__xludf.DUMMYFUNCTION("""COMPUTED_VALUE"""),"普通科")</f>
        <v>普通科</v>
      </c>
      <c r="F523" s="9" t="str">
        <f>IFERROR(__xludf.DUMMYFUNCTION("""COMPUTED_VALUE"""),"二年級")</f>
        <v>二年級</v>
      </c>
      <c r="G523" s="10" t="str">
        <f>IFERROR(__xludf.DUMMYFUNCTION("""COMPUTED_VALUE"""),"■商品卡$200")</f>
        <v>■商品卡$200</v>
      </c>
      <c r="H523" s="9"/>
    </row>
    <row r="524">
      <c r="A524" s="5" t="s">
        <v>9</v>
      </c>
      <c r="B524" s="9" t="str">
        <f>IFERROR(__xludf.DUMMYFUNCTION("""COMPUTED_VALUE"""),"陳O安")</f>
        <v>陳O安</v>
      </c>
      <c r="C524" s="9" t="str">
        <f>IFERROR(__xludf.DUMMYFUNCTION("""COMPUTED_VALUE"""),"st1*****@apps.ntpc.edu.tw")</f>
        <v>st1*****@apps.ntpc.edu.tw</v>
      </c>
      <c r="D524" s="9" t="str">
        <f>IFERROR(__xludf.DUMMYFUNCTION("""COMPUTED_VALUE"""),"新北市立三重高級中學")</f>
        <v>新北市立三重高級中學</v>
      </c>
      <c r="E524" s="9" t="str">
        <f>IFERROR(__xludf.DUMMYFUNCTION("""COMPUTED_VALUE"""),"普通科")</f>
        <v>普通科</v>
      </c>
      <c r="F524" s="9" t="str">
        <f>IFERROR(__xludf.DUMMYFUNCTION("""COMPUTED_VALUE"""),"二年級")</f>
        <v>二年級</v>
      </c>
      <c r="G524" s="10" t="str">
        <f>IFERROR(__xludf.DUMMYFUNCTION("""COMPUTED_VALUE"""),"獎狀")</f>
        <v>獎狀</v>
      </c>
      <c r="H524" s="9"/>
    </row>
    <row r="525">
      <c r="A525" s="5" t="s">
        <v>9</v>
      </c>
      <c r="B525" s="9" t="str">
        <f>IFERROR(__xludf.DUMMYFUNCTION("""COMPUTED_VALUE"""),"胡O茵")</f>
        <v>胡O茵</v>
      </c>
      <c r="C525" s="9" t="str">
        <f>IFERROR(__xludf.DUMMYFUNCTION("""COMPUTED_VALUE"""),"joa*****@icloud.com")</f>
        <v>joa*****@icloud.com</v>
      </c>
      <c r="D525" s="9" t="str">
        <f>IFERROR(__xludf.DUMMYFUNCTION("""COMPUTED_VALUE"""),"新北市立三重高級中學")</f>
        <v>新北市立三重高級中學</v>
      </c>
      <c r="E525" s="9" t="str">
        <f>IFERROR(__xludf.DUMMYFUNCTION("""COMPUTED_VALUE"""),"普通科")</f>
        <v>普通科</v>
      </c>
      <c r="F525" s="9" t="str">
        <f>IFERROR(__xludf.DUMMYFUNCTION("""COMPUTED_VALUE"""),"二年級")</f>
        <v>二年級</v>
      </c>
      <c r="G525" s="10" t="str">
        <f>IFERROR(__xludf.DUMMYFUNCTION("""COMPUTED_VALUE"""),"獎狀")</f>
        <v>獎狀</v>
      </c>
      <c r="H525" s="9"/>
    </row>
    <row r="526">
      <c r="A526" s="5" t="s">
        <v>9</v>
      </c>
      <c r="B526" s="9" t="str">
        <f>IFERROR(__xludf.DUMMYFUNCTION("""COMPUTED_VALUE"""),"舒O全")</f>
        <v>舒O全</v>
      </c>
      <c r="C526" s="9" t="str">
        <f>IFERROR(__xludf.DUMMYFUNCTION("""COMPUTED_VALUE"""),"eri*****0080611@gmail.com")</f>
        <v>eri*****0080611@gmail.com</v>
      </c>
      <c r="D526" s="9" t="str">
        <f>IFERROR(__xludf.DUMMYFUNCTION("""COMPUTED_VALUE"""),"新北市立三重高級中學")</f>
        <v>新北市立三重高級中學</v>
      </c>
      <c r="E526" s="9" t="str">
        <f>IFERROR(__xludf.DUMMYFUNCTION("""COMPUTED_VALUE"""),"普通科")</f>
        <v>普通科</v>
      </c>
      <c r="F526" s="9" t="str">
        <f>IFERROR(__xludf.DUMMYFUNCTION("""COMPUTED_VALUE"""),"二年級")</f>
        <v>二年級</v>
      </c>
      <c r="G526" s="10" t="str">
        <f>IFERROR(__xludf.DUMMYFUNCTION("""COMPUTED_VALUE"""),"■商品卡$200")</f>
        <v>■商品卡$200</v>
      </c>
      <c r="H526" s="9"/>
    </row>
    <row r="527">
      <c r="A527" s="5" t="s">
        <v>9</v>
      </c>
      <c r="B527" s="9" t="str">
        <f>IFERROR(__xludf.DUMMYFUNCTION("""COMPUTED_VALUE"""),"張O宸")</f>
        <v>張O宸</v>
      </c>
      <c r="C527" s="9" t="str">
        <f>IFERROR(__xludf.DUMMYFUNCTION("""COMPUTED_VALUE"""),"che*****31@apps.ntpc.edu.tw")</f>
        <v>che*****31@apps.ntpc.edu.tw</v>
      </c>
      <c r="D527" s="9" t="str">
        <f>IFERROR(__xludf.DUMMYFUNCTION("""COMPUTED_VALUE"""),"新北市立三重高級中學")</f>
        <v>新北市立三重高級中學</v>
      </c>
      <c r="E527" s="9" t="str">
        <f>IFERROR(__xludf.DUMMYFUNCTION("""COMPUTED_VALUE"""),"普通科")</f>
        <v>普通科</v>
      </c>
      <c r="F527" s="9" t="str">
        <f>IFERROR(__xludf.DUMMYFUNCTION("""COMPUTED_VALUE"""),"二年級")</f>
        <v>二年級</v>
      </c>
      <c r="G527" s="10" t="str">
        <f>IFERROR(__xludf.DUMMYFUNCTION("""COMPUTED_VALUE"""),"獎狀")</f>
        <v>獎狀</v>
      </c>
      <c r="H527" s="9"/>
    </row>
    <row r="528">
      <c r="A528" s="5" t="s">
        <v>9</v>
      </c>
      <c r="B528" s="9" t="str">
        <f>IFERROR(__xludf.DUMMYFUNCTION("""COMPUTED_VALUE"""),"黃O伊")</f>
        <v>黃O伊</v>
      </c>
      <c r="C528" s="9" t="str">
        <f>IFERROR(__xludf.DUMMYFUNCTION("""COMPUTED_VALUE"""),"chl*****ipei@gmail.com")</f>
        <v>chl*****ipei@gmail.com</v>
      </c>
      <c r="D528" s="9" t="str">
        <f>IFERROR(__xludf.DUMMYFUNCTION("""COMPUTED_VALUE"""),"新北市立三重高級中學")</f>
        <v>新北市立三重高級中學</v>
      </c>
      <c r="E528" s="9" t="str">
        <f>IFERROR(__xludf.DUMMYFUNCTION("""COMPUTED_VALUE"""),"普通科")</f>
        <v>普通科</v>
      </c>
      <c r="F528" s="9" t="str">
        <f>IFERROR(__xludf.DUMMYFUNCTION("""COMPUTED_VALUE"""),"二年級")</f>
        <v>二年級</v>
      </c>
      <c r="G528" s="10" t="str">
        <f>IFERROR(__xludf.DUMMYFUNCTION("""COMPUTED_VALUE"""),"獎狀")</f>
        <v>獎狀</v>
      </c>
      <c r="H528" s="9"/>
    </row>
    <row r="529">
      <c r="A529" s="5" t="s">
        <v>9</v>
      </c>
      <c r="B529" s="9" t="str">
        <f>IFERROR(__xludf.DUMMYFUNCTION("""COMPUTED_VALUE"""),"蔡O臻")</f>
        <v>蔡O臻</v>
      </c>
      <c r="C529" s="9" t="str">
        <f>IFERROR(__xludf.DUMMYFUNCTION("""COMPUTED_VALUE"""),"jam*****1@apps.ntpc.edu.tw")</f>
        <v>jam*****1@apps.ntpc.edu.tw</v>
      </c>
      <c r="D529" s="9" t="str">
        <f>IFERROR(__xludf.DUMMYFUNCTION("""COMPUTED_VALUE"""),"新北市立三重高級中學")</f>
        <v>新北市立三重高級中學</v>
      </c>
      <c r="E529" s="9" t="str">
        <f>IFERROR(__xludf.DUMMYFUNCTION("""COMPUTED_VALUE"""),"普通科")</f>
        <v>普通科</v>
      </c>
      <c r="F529" s="9" t="str">
        <f>IFERROR(__xludf.DUMMYFUNCTION("""COMPUTED_VALUE"""),"二年級")</f>
        <v>二年級</v>
      </c>
      <c r="G529" s="10" t="str">
        <f>IFERROR(__xludf.DUMMYFUNCTION("""COMPUTED_VALUE"""),"獎狀")</f>
        <v>獎狀</v>
      </c>
      <c r="H529" s="9"/>
    </row>
    <row r="530">
      <c r="A530" s="5" t="s">
        <v>9</v>
      </c>
      <c r="B530" s="9" t="str">
        <f>IFERROR(__xludf.DUMMYFUNCTION("""COMPUTED_VALUE"""),"何O廷")</f>
        <v>何O廷</v>
      </c>
      <c r="C530" s="9" t="str">
        <f>IFERROR(__xludf.DUMMYFUNCTION("""COMPUTED_VALUE"""),"iva*****.ntpc@mail.edu.tw")</f>
        <v>iva*****.ntpc@mail.edu.tw</v>
      </c>
      <c r="D530" s="9" t="str">
        <f>IFERROR(__xludf.DUMMYFUNCTION("""COMPUTED_VALUE"""),"新北市立三重高級中學")</f>
        <v>新北市立三重高級中學</v>
      </c>
      <c r="E530" s="9" t="str">
        <f>IFERROR(__xludf.DUMMYFUNCTION("""COMPUTED_VALUE"""),"普通科")</f>
        <v>普通科</v>
      </c>
      <c r="F530" s="9" t="str">
        <f>IFERROR(__xludf.DUMMYFUNCTION("""COMPUTED_VALUE"""),"二年級")</f>
        <v>二年級</v>
      </c>
      <c r="G530" s="10" t="str">
        <f>IFERROR(__xludf.DUMMYFUNCTION("""COMPUTED_VALUE"""),"獎狀")</f>
        <v>獎狀</v>
      </c>
      <c r="H530" s="9"/>
    </row>
    <row r="531">
      <c r="A531" s="5" t="s">
        <v>9</v>
      </c>
      <c r="B531" s="9" t="str">
        <f>IFERROR(__xludf.DUMMYFUNCTION("""COMPUTED_VALUE"""),"黃O瑄")</f>
        <v>黃O瑄</v>
      </c>
      <c r="C531" s="9" t="str">
        <f>IFERROR(__xludf.DUMMYFUNCTION("""COMPUTED_VALUE"""),"pin*****929@gmail.com")</f>
        <v>pin*****929@gmail.com</v>
      </c>
      <c r="D531" s="9" t="str">
        <f>IFERROR(__xludf.DUMMYFUNCTION("""COMPUTED_VALUE"""),"新北市立三重高級中學")</f>
        <v>新北市立三重高級中學</v>
      </c>
      <c r="E531" s="9" t="str">
        <f>IFERROR(__xludf.DUMMYFUNCTION("""COMPUTED_VALUE"""),"普通科")</f>
        <v>普通科</v>
      </c>
      <c r="F531" s="9" t="str">
        <f>IFERROR(__xludf.DUMMYFUNCTION("""COMPUTED_VALUE"""),"二年級")</f>
        <v>二年級</v>
      </c>
      <c r="G531" s="10" t="str">
        <f>IFERROR(__xludf.DUMMYFUNCTION("""COMPUTED_VALUE"""),"獎狀")</f>
        <v>獎狀</v>
      </c>
      <c r="H531" s="9"/>
    </row>
    <row r="532">
      <c r="A532" s="5" t="s">
        <v>9</v>
      </c>
      <c r="B532" s="9" t="str">
        <f>IFERROR(__xludf.DUMMYFUNCTION("""COMPUTED_VALUE"""),"沈O嫻")</f>
        <v>沈O嫻</v>
      </c>
      <c r="C532" s="9" t="str">
        <f>IFERROR(__xludf.DUMMYFUNCTION("""COMPUTED_VALUE"""),"mel*****x2.shen@gmail.com")</f>
        <v>mel*****x2.shen@gmail.com</v>
      </c>
      <c r="D532" s="9" t="str">
        <f>IFERROR(__xludf.DUMMYFUNCTION("""COMPUTED_VALUE"""),"新北市立三重高級中學")</f>
        <v>新北市立三重高級中學</v>
      </c>
      <c r="E532" s="9" t="str">
        <f>IFERROR(__xludf.DUMMYFUNCTION("""COMPUTED_VALUE"""),"普通科")</f>
        <v>普通科</v>
      </c>
      <c r="F532" s="9" t="str">
        <f>IFERROR(__xludf.DUMMYFUNCTION("""COMPUTED_VALUE"""),"二年級")</f>
        <v>二年級</v>
      </c>
      <c r="G532" s="10" t="str">
        <f>IFERROR(__xludf.DUMMYFUNCTION("""COMPUTED_VALUE"""),"■商品卡$200")</f>
        <v>■商品卡$200</v>
      </c>
      <c r="H532" s="9"/>
    </row>
    <row r="533">
      <c r="A533" s="5" t="s">
        <v>9</v>
      </c>
      <c r="B533" s="9" t="str">
        <f>IFERROR(__xludf.DUMMYFUNCTION("""COMPUTED_VALUE"""),"陳O妤")</f>
        <v>陳O妤</v>
      </c>
      <c r="C533" s="9" t="str">
        <f>IFERROR(__xludf.DUMMYFUNCTION("""COMPUTED_VALUE"""),"jes*****i1014@apps.ntpc.edu.tw")</f>
        <v>jes*****i1014@apps.ntpc.edu.tw</v>
      </c>
      <c r="D533" s="9" t="str">
        <f>IFERROR(__xludf.DUMMYFUNCTION("""COMPUTED_VALUE"""),"新北市立三重高級中學")</f>
        <v>新北市立三重高級中學</v>
      </c>
      <c r="E533" s="9" t="str">
        <f>IFERROR(__xludf.DUMMYFUNCTION("""COMPUTED_VALUE"""),"普通科")</f>
        <v>普通科</v>
      </c>
      <c r="F533" s="9" t="str">
        <f>IFERROR(__xludf.DUMMYFUNCTION("""COMPUTED_VALUE"""),"二年級")</f>
        <v>二年級</v>
      </c>
      <c r="G533" s="10" t="str">
        <f>IFERROR(__xludf.DUMMYFUNCTION("""COMPUTED_VALUE"""),"獎狀")</f>
        <v>獎狀</v>
      </c>
      <c r="H533" s="9"/>
    </row>
    <row r="534">
      <c r="A534" s="5" t="s">
        <v>9</v>
      </c>
      <c r="B534" s="9" t="str">
        <f>IFERROR(__xludf.DUMMYFUNCTION("""COMPUTED_VALUE"""),"楊O甯")</f>
        <v>楊O甯</v>
      </c>
      <c r="C534" s="9" t="str">
        <f>IFERROR(__xludf.DUMMYFUNCTION("""COMPUTED_VALUE"""),"lfe*****81@apps.ntpc.edu.tw")</f>
        <v>lfe*****81@apps.ntpc.edu.tw</v>
      </c>
      <c r="D534" s="9" t="str">
        <f>IFERROR(__xludf.DUMMYFUNCTION("""COMPUTED_VALUE"""),"新北市立三重高級中學")</f>
        <v>新北市立三重高級中學</v>
      </c>
      <c r="E534" s="9" t="str">
        <f>IFERROR(__xludf.DUMMYFUNCTION("""COMPUTED_VALUE"""),"普通科")</f>
        <v>普通科</v>
      </c>
      <c r="F534" s="9" t="str">
        <f>IFERROR(__xludf.DUMMYFUNCTION("""COMPUTED_VALUE"""),"二年級")</f>
        <v>二年級</v>
      </c>
      <c r="G534" s="10" t="str">
        <f>IFERROR(__xludf.DUMMYFUNCTION("""COMPUTED_VALUE"""),"獎狀")</f>
        <v>獎狀</v>
      </c>
      <c r="H534" s="9"/>
    </row>
    <row r="535">
      <c r="A535" s="5" t="s">
        <v>9</v>
      </c>
      <c r="B535" s="9" t="str">
        <f>IFERROR(__xludf.DUMMYFUNCTION("""COMPUTED_VALUE"""),"陳O瑄")</f>
        <v>陳O瑄</v>
      </c>
      <c r="C535" s="9" t="str">
        <f>IFERROR(__xludf.DUMMYFUNCTION("""COMPUTED_VALUE"""),"mel*****24@apps.ntpc.edu.tw")</f>
        <v>mel*****24@apps.ntpc.edu.tw</v>
      </c>
      <c r="D535" s="9" t="str">
        <f>IFERROR(__xludf.DUMMYFUNCTION("""COMPUTED_VALUE"""),"新北市立三重高級中學")</f>
        <v>新北市立三重高級中學</v>
      </c>
      <c r="E535" s="9" t="str">
        <f>IFERROR(__xludf.DUMMYFUNCTION("""COMPUTED_VALUE"""),"普通科")</f>
        <v>普通科</v>
      </c>
      <c r="F535" s="9" t="str">
        <f>IFERROR(__xludf.DUMMYFUNCTION("""COMPUTED_VALUE"""),"二年級")</f>
        <v>二年級</v>
      </c>
      <c r="G535" s="10" t="str">
        <f>IFERROR(__xludf.DUMMYFUNCTION("""COMPUTED_VALUE"""),"獎狀")</f>
        <v>獎狀</v>
      </c>
      <c r="H535" s="9"/>
    </row>
    <row r="536">
      <c r="A536" s="5" t="s">
        <v>9</v>
      </c>
      <c r="B536" s="9" t="str">
        <f>IFERROR(__xludf.DUMMYFUNCTION("""COMPUTED_VALUE"""),"劉O聿")</f>
        <v>劉O聿</v>
      </c>
      <c r="C536" s="9" t="str">
        <f>IFERROR(__xludf.DUMMYFUNCTION("""COMPUTED_VALUE"""),"bar*****213@apps.ntpc.edu.tw")</f>
        <v>bar*****213@apps.ntpc.edu.tw</v>
      </c>
      <c r="D536" s="9" t="str">
        <f>IFERROR(__xludf.DUMMYFUNCTION("""COMPUTED_VALUE"""),"新北市立三重高級中學")</f>
        <v>新北市立三重高級中學</v>
      </c>
      <c r="E536" s="9" t="str">
        <f>IFERROR(__xludf.DUMMYFUNCTION("""COMPUTED_VALUE"""),"普通科")</f>
        <v>普通科</v>
      </c>
      <c r="F536" s="9" t="str">
        <f>IFERROR(__xludf.DUMMYFUNCTION("""COMPUTED_VALUE"""),"二年級")</f>
        <v>二年級</v>
      </c>
      <c r="G536" s="10" t="str">
        <f>IFERROR(__xludf.DUMMYFUNCTION("""COMPUTED_VALUE"""),"獎狀")</f>
        <v>獎狀</v>
      </c>
      <c r="H536" s="9"/>
    </row>
    <row r="537">
      <c r="A537" s="5" t="s">
        <v>9</v>
      </c>
      <c r="B537" s="9" t="str">
        <f>IFERROR(__xludf.DUMMYFUNCTION("""COMPUTED_VALUE"""),"李O穎")</f>
        <v>李O穎</v>
      </c>
      <c r="C537" s="9" t="str">
        <f>IFERROR(__xludf.DUMMYFUNCTION("""COMPUTED_VALUE"""),"mar*****10@apps.ntpc.edu.tw")</f>
        <v>mar*****10@apps.ntpc.edu.tw</v>
      </c>
      <c r="D537" s="9" t="str">
        <f>IFERROR(__xludf.DUMMYFUNCTION("""COMPUTED_VALUE"""),"新北市立三重高級中學")</f>
        <v>新北市立三重高級中學</v>
      </c>
      <c r="E537" s="9" t="str">
        <f>IFERROR(__xludf.DUMMYFUNCTION("""COMPUTED_VALUE"""),"普通科")</f>
        <v>普通科</v>
      </c>
      <c r="F537" s="9" t="str">
        <f>IFERROR(__xludf.DUMMYFUNCTION("""COMPUTED_VALUE"""),"二年級")</f>
        <v>二年級</v>
      </c>
      <c r="G537" s="10" t="str">
        <f>IFERROR(__xludf.DUMMYFUNCTION("""COMPUTED_VALUE"""),"獎狀")</f>
        <v>獎狀</v>
      </c>
      <c r="H537" s="9"/>
    </row>
    <row r="538">
      <c r="A538" s="5" t="s">
        <v>9</v>
      </c>
      <c r="B538" s="9" t="str">
        <f>IFERROR(__xludf.DUMMYFUNCTION("""COMPUTED_VALUE"""),"林O錡")</f>
        <v>林O錡</v>
      </c>
      <c r="C538" s="9" t="str">
        <f>IFERROR(__xludf.DUMMYFUNCTION("""COMPUTED_VALUE"""),"kik*****@apps.ntpc.edu.tw")</f>
        <v>kik*****@apps.ntpc.edu.tw</v>
      </c>
      <c r="D538" s="9" t="str">
        <f>IFERROR(__xludf.DUMMYFUNCTION("""COMPUTED_VALUE"""),"新北市立三重高級中學")</f>
        <v>新北市立三重高級中學</v>
      </c>
      <c r="E538" s="9" t="str">
        <f>IFERROR(__xludf.DUMMYFUNCTION("""COMPUTED_VALUE"""),"普通科")</f>
        <v>普通科</v>
      </c>
      <c r="F538" s="9" t="str">
        <f>IFERROR(__xludf.DUMMYFUNCTION("""COMPUTED_VALUE"""),"二年級")</f>
        <v>二年級</v>
      </c>
      <c r="G538" s="10" t="str">
        <f>IFERROR(__xludf.DUMMYFUNCTION("""COMPUTED_VALUE"""),"獎狀")</f>
        <v>獎狀</v>
      </c>
      <c r="H538" s="9"/>
    </row>
    <row r="539">
      <c r="A539" s="5" t="s">
        <v>9</v>
      </c>
      <c r="B539" s="9" t="str">
        <f>IFERROR(__xludf.DUMMYFUNCTION("""COMPUTED_VALUE"""),"張O綺")</f>
        <v>張O綺</v>
      </c>
      <c r="C539" s="9" t="str">
        <f>IFERROR(__xludf.DUMMYFUNCTION("""COMPUTED_VALUE"""),"ss1*****19.ntpc@mail.edu.tw")</f>
        <v>ss1*****19.ntpc@mail.edu.tw</v>
      </c>
      <c r="D539" s="9" t="str">
        <f>IFERROR(__xludf.DUMMYFUNCTION("""COMPUTED_VALUE"""),"新北市立三重高級中學")</f>
        <v>新北市立三重高級中學</v>
      </c>
      <c r="E539" s="9" t="str">
        <f>IFERROR(__xludf.DUMMYFUNCTION("""COMPUTED_VALUE"""),"普通科")</f>
        <v>普通科</v>
      </c>
      <c r="F539" s="9" t="str">
        <f>IFERROR(__xludf.DUMMYFUNCTION("""COMPUTED_VALUE"""),"二年級")</f>
        <v>二年級</v>
      </c>
      <c r="G539" s="10" t="str">
        <f>IFERROR(__xludf.DUMMYFUNCTION("""COMPUTED_VALUE"""),"獎狀")</f>
        <v>獎狀</v>
      </c>
      <c r="H539" s="9"/>
    </row>
    <row r="540">
      <c r="A540" s="5" t="s">
        <v>9</v>
      </c>
      <c r="B540" s="9" t="str">
        <f>IFERROR(__xludf.DUMMYFUNCTION("""COMPUTED_VALUE"""),"林O蓁")</f>
        <v>林O蓁</v>
      </c>
      <c r="C540" s="9" t="str">
        <f>IFERROR(__xludf.DUMMYFUNCTION("""COMPUTED_VALUE"""),"pq1*****@apps.ntpc.edu.tw")</f>
        <v>pq1*****@apps.ntpc.edu.tw</v>
      </c>
      <c r="D540" s="9" t="str">
        <f>IFERROR(__xludf.DUMMYFUNCTION("""COMPUTED_VALUE"""),"新北市立三重高級中學")</f>
        <v>新北市立三重高級中學</v>
      </c>
      <c r="E540" s="9" t="str">
        <f>IFERROR(__xludf.DUMMYFUNCTION("""COMPUTED_VALUE"""),"普通科")</f>
        <v>普通科</v>
      </c>
      <c r="F540" s="9" t="str">
        <f>IFERROR(__xludf.DUMMYFUNCTION("""COMPUTED_VALUE"""),"二年級")</f>
        <v>二年級</v>
      </c>
      <c r="G540" s="10" t="str">
        <f>IFERROR(__xludf.DUMMYFUNCTION("""COMPUTED_VALUE"""),"獎狀")</f>
        <v>獎狀</v>
      </c>
      <c r="H540" s="9"/>
    </row>
    <row r="541">
      <c r="A541" s="5" t="s">
        <v>9</v>
      </c>
      <c r="B541" s="9" t="str">
        <f>IFERROR(__xludf.DUMMYFUNCTION("""COMPUTED_VALUE"""),"魏O軒")</f>
        <v>魏O軒</v>
      </c>
      <c r="C541" s="9" t="str">
        <f>IFERROR(__xludf.DUMMYFUNCTION("""COMPUTED_VALUE"""),"yse*****09@apps.ntpc.edu.tw")</f>
        <v>yse*****09@apps.ntpc.edu.tw</v>
      </c>
      <c r="D541" s="9" t="str">
        <f>IFERROR(__xludf.DUMMYFUNCTION("""COMPUTED_VALUE"""),"新北市立三重高級中學")</f>
        <v>新北市立三重高級中學</v>
      </c>
      <c r="E541" s="9" t="str">
        <f>IFERROR(__xludf.DUMMYFUNCTION("""COMPUTED_VALUE"""),"普通科")</f>
        <v>普通科</v>
      </c>
      <c r="F541" s="9" t="str">
        <f>IFERROR(__xludf.DUMMYFUNCTION("""COMPUTED_VALUE"""),"二年級")</f>
        <v>二年級</v>
      </c>
      <c r="G541" s="10" t="str">
        <f>IFERROR(__xludf.DUMMYFUNCTION("""COMPUTED_VALUE"""),"獎狀")</f>
        <v>獎狀</v>
      </c>
      <c r="H541" s="9"/>
    </row>
    <row r="542">
      <c r="A542" s="5" t="s">
        <v>9</v>
      </c>
      <c r="B542" s="9" t="str">
        <f>IFERROR(__xludf.DUMMYFUNCTION("""COMPUTED_VALUE"""),"吳O謙")</f>
        <v>吳O謙</v>
      </c>
      <c r="C542" s="9" t="str">
        <f>IFERROR(__xludf.DUMMYFUNCTION("""COMPUTED_VALUE"""),"s41*****es106@apps.ntpc.edu.tw")</f>
        <v>s41*****es106@apps.ntpc.edu.tw</v>
      </c>
      <c r="D542" s="9" t="str">
        <f>IFERROR(__xludf.DUMMYFUNCTION("""COMPUTED_VALUE"""),"新北市立三重高級中學")</f>
        <v>新北市立三重高級中學</v>
      </c>
      <c r="E542" s="9" t="str">
        <f>IFERROR(__xludf.DUMMYFUNCTION("""COMPUTED_VALUE"""),"普通科")</f>
        <v>普通科</v>
      </c>
      <c r="F542" s="9" t="str">
        <f>IFERROR(__xludf.DUMMYFUNCTION("""COMPUTED_VALUE"""),"二年級")</f>
        <v>二年級</v>
      </c>
      <c r="G542" s="10" t="str">
        <f>IFERROR(__xludf.DUMMYFUNCTION("""COMPUTED_VALUE"""),"○商品卡$500")</f>
        <v>○商品卡$500</v>
      </c>
      <c r="H542" s="9"/>
    </row>
    <row r="543">
      <c r="A543" s="5" t="s">
        <v>9</v>
      </c>
      <c r="B543" s="9" t="str">
        <f>IFERROR(__xludf.DUMMYFUNCTION("""COMPUTED_VALUE"""),"李O婕")</f>
        <v>李O婕</v>
      </c>
      <c r="C543" s="9" t="str">
        <f>IFERROR(__xludf.DUMMYFUNCTION("""COMPUTED_VALUE"""),"ang*****02@apps.ntpc.edu.tw")</f>
        <v>ang*****02@apps.ntpc.edu.tw</v>
      </c>
      <c r="D543" s="9" t="str">
        <f>IFERROR(__xludf.DUMMYFUNCTION("""COMPUTED_VALUE"""),"新北市立三重高級中學")</f>
        <v>新北市立三重高級中學</v>
      </c>
      <c r="E543" s="9" t="str">
        <f>IFERROR(__xludf.DUMMYFUNCTION("""COMPUTED_VALUE"""),"普通科")</f>
        <v>普通科</v>
      </c>
      <c r="F543" s="9" t="str">
        <f>IFERROR(__xludf.DUMMYFUNCTION("""COMPUTED_VALUE"""),"二年級")</f>
        <v>二年級</v>
      </c>
      <c r="G543" s="10" t="str">
        <f>IFERROR(__xludf.DUMMYFUNCTION("""COMPUTED_VALUE"""),"獎狀")</f>
        <v>獎狀</v>
      </c>
      <c r="H543" s="9"/>
    </row>
    <row r="544">
      <c r="A544" s="5" t="s">
        <v>9</v>
      </c>
      <c r="B544" s="9" t="str">
        <f>IFERROR(__xludf.DUMMYFUNCTION("""COMPUTED_VALUE"""),"張O葵")</f>
        <v>張O葵</v>
      </c>
      <c r="C544" s="9" t="str">
        <f>IFERROR(__xludf.DUMMYFUNCTION("""COMPUTED_VALUE"""),"kjp*****093@apps.ntpc.edu.tw")</f>
        <v>kjp*****093@apps.ntpc.edu.tw</v>
      </c>
      <c r="D544" s="9" t="str">
        <f>IFERROR(__xludf.DUMMYFUNCTION("""COMPUTED_VALUE"""),"新北市立三重高級中學")</f>
        <v>新北市立三重高級中學</v>
      </c>
      <c r="E544" s="9" t="str">
        <f>IFERROR(__xludf.DUMMYFUNCTION("""COMPUTED_VALUE"""),"普通科")</f>
        <v>普通科</v>
      </c>
      <c r="F544" s="9" t="str">
        <f>IFERROR(__xludf.DUMMYFUNCTION("""COMPUTED_VALUE"""),"二年級")</f>
        <v>二年級</v>
      </c>
      <c r="G544" s="10" t="str">
        <f>IFERROR(__xludf.DUMMYFUNCTION("""COMPUTED_VALUE"""),"獎狀")</f>
        <v>獎狀</v>
      </c>
      <c r="H544" s="9"/>
    </row>
    <row r="545">
      <c r="A545" s="5" t="s">
        <v>9</v>
      </c>
      <c r="B545" s="9" t="str">
        <f>IFERROR(__xludf.DUMMYFUNCTION("""COMPUTED_VALUE"""),"李O哲")</f>
        <v>李O哲</v>
      </c>
      <c r="C545" s="9" t="str">
        <f>IFERROR(__xludf.DUMMYFUNCTION("""COMPUTED_VALUE"""),"mj1*****@apps.ntpc.edu.tw")</f>
        <v>mj1*****@apps.ntpc.edu.tw</v>
      </c>
      <c r="D545" s="9" t="str">
        <f>IFERROR(__xludf.DUMMYFUNCTION("""COMPUTED_VALUE"""),"新北市立三重高級中學")</f>
        <v>新北市立三重高級中學</v>
      </c>
      <c r="E545" s="9" t="str">
        <f>IFERROR(__xludf.DUMMYFUNCTION("""COMPUTED_VALUE"""),"普通科")</f>
        <v>普通科</v>
      </c>
      <c r="F545" s="9" t="str">
        <f>IFERROR(__xludf.DUMMYFUNCTION("""COMPUTED_VALUE"""),"二年級")</f>
        <v>二年級</v>
      </c>
      <c r="G545" s="10" t="str">
        <f>IFERROR(__xludf.DUMMYFUNCTION("""COMPUTED_VALUE"""),"獎狀")</f>
        <v>獎狀</v>
      </c>
      <c r="H545" s="9"/>
    </row>
    <row r="546">
      <c r="A546" s="5" t="s">
        <v>9</v>
      </c>
      <c r="B546" s="9" t="str">
        <f>IFERROR(__xludf.DUMMYFUNCTION("""COMPUTED_VALUE"""),"林O盈")</f>
        <v>林O盈</v>
      </c>
      <c r="C546" s="9" t="str">
        <f>IFERROR(__xludf.DUMMYFUNCTION("""COMPUTED_VALUE"""),"cut*****17@apps.ntpc.edu.tw")</f>
        <v>cut*****17@apps.ntpc.edu.tw</v>
      </c>
      <c r="D546" s="9" t="str">
        <f>IFERROR(__xludf.DUMMYFUNCTION("""COMPUTED_VALUE"""),"新北市立三重高級中學")</f>
        <v>新北市立三重高級中學</v>
      </c>
      <c r="E546" s="9" t="str">
        <f>IFERROR(__xludf.DUMMYFUNCTION("""COMPUTED_VALUE"""),"普通科")</f>
        <v>普通科</v>
      </c>
      <c r="F546" s="9" t="str">
        <f>IFERROR(__xludf.DUMMYFUNCTION("""COMPUTED_VALUE"""),"三年級")</f>
        <v>三年級</v>
      </c>
      <c r="G546" s="10" t="str">
        <f>IFERROR(__xludf.DUMMYFUNCTION("""COMPUTED_VALUE"""),"獎狀")</f>
        <v>獎狀</v>
      </c>
      <c r="H546" s="9"/>
    </row>
    <row r="547">
      <c r="A547" s="5" t="s">
        <v>9</v>
      </c>
      <c r="B547" s="9" t="str">
        <f>IFERROR(__xludf.DUMMYFUNCTION("""COMPUTED_VALUE"""),"李O佑")</f>
        <v>李O佑</v>
      </c>
      <c r="C547" s="9" t="str">
        <f>IFERROR(__xludf.DUMMYFUNCTION("""COMPUTED_VALUE"""),"ai9*****0@gmail.com")</f>
        <v>ai9*****0@gmail.com</v>
      </c>
      <c r="D547" s="9" t="str">
        <f>IFERROR(__xludf.DUMMYFUNCTION("""COMPUTED_VALUE"""),"新北市立三重高級中學")</f>
        <v>新北市立三重高級中學</v>
      </c>
      <c r="E547" s="9" t="str">
        <f>IFERROR(__xludf.DUMMYFUNCTION("""COMPUTED_VALUE"""),"普通科")</f>
        <v>普通科</v>
      </c>
      <c r="F547" s="9" t="str">
        <f>IFERROR(__xludf.DUMMYFUNCTION("""COMPUTED_VALUE"""),"三年級")</f>
        <v>三年級</v>
      </c>
      <c r="G547" s="10" t="str">
        <f>IFERROR(__xludf.DUMMYFUNCTION("""COMPUTED_VALUE"""),"■商品卡$200")</f>
        <v>■商品卡$200</v>
      </c>
      <c r="H547" s="9"/>
    </row>
    <row r="548">
      <c r="A548" s="5" t="s">
        <v>9</v>
      </c>
      <c r="B548" s="9" t="str">
        <f>IFERROR(__xludf.DUMMYFUNCTION("""COMPUTED_VALUE"""),"許O勝")</f>
        <v>許O勝</v>
      </c>
      <c r="C548" s="9" t="str">
        <f>IFERROR(__xludf.DUMMYFUNCTION("""COMPUTED_VALUE"""),"sup*****rshen1230@gmail.com")</f>
        <v>sup*****rshen1230@gmail.com</v>
      </c>
      <c r="D548" s="9" t="str">
        <f>IFERROR(__xludf.DUMMYFUNCTION("""COMPUTED_VALUE"""),"新北市立三重高級中學")</f>
        <v>新北市立三重高級中學</v>
      </c>
      <c r="E548" s="9" t="str">
        <f>IFERROR(__xludf.DUMMYFUNCTION("""COMPUTED_VALUE"""),"普通科")</f>
        <v>普通科</v>
      </c>
      <c r="F548" s="9" t="str">
        <f>IFERROR(__xludf.DUMMYFUNCTION("""COMPUTED_VALUE"""),"三年級")</f>
        <v>三年級</v>
      </c>
      <c r="G548" s="10" t="str">
        <f>IFERROR(__xludf.DUMMYFUNCTION("""COMPUTED_VALUE"""),"獎狀")</f>
        <v>獎狀</v>
      </c>
      <c r="H548" s="9"/>
    </row>
    <row r="549">
      <c r="A549" s="5" t="s">
        <v>9</v>
      </c>
      <c r="B549" s="9" t="str">
        <f>IFERROR(__xludf.DUMMYFUNCTION("""COMPUTED_VALUE"""),"劉O霈")</f>
        <v>劉O霈</v>
      </c>
      <c r="C549" s="9" t="str">
        <f>IFERROR(__xludf.DUMMYFUNCTION("""COMPUTED_VALUE"""),"peg*****106@gmail.com")</f>
        <v>peg*****106@gmail.com</v>
      </c>
      <c r="D549" s="9" t="str">
        <f>IFERROR(__xludf.DUMMYFUNCTION("""COMPUTED_VALUE"""),"新北市立三重高級中學")</f>
        <v>新北市立三重高級中學</v>
      </c>
      <c r="E549" s="9" t="str">
        <f>IFERROR(__xludf.DUMMYFUNCTION("""COMPUTED_VALUE"""),"普通科")</f>
        <v>普通科</v>
      </c>
      <c r="F549" s="9" t="str">
        <f>IFERROR(__xludf.DUMMYFUNCTION("""COMPUTED_VALUE"""),"三年級")</f>
        <v>三年級</v>
      </c>
      <c r="G549" s="10" t="str">
        <f>IFERROR(__xludf.DUMMYFUNCTION("""COMPUTED_VALUE"""),"獎狀")</f>
        <v>獎狀</v>
      </c>
      <c r="H549" s="9"/>
    </row>
    <row r="550">
      <c r="A550" s="5" t="s">
        <v>9</v>
      </c>
      <c r="B550" s="9" t="str">
        <f>IFERROR(__xludf.DUMMYFUNCTION("""COMPUTED_VALUE"""),"王O安")</f>
        <v>王O安</v>
      </c>
      <c r="C550" s="9" t="str">
        <f>IFERROR(__xludf.DUMMYFUNCTION("""COMPUTED_VALUE"""),"ann*****@apps.ntpc.edu.tw")</f>
        <v>ann*****@apps.ntpc.edu.tw</v>
      </c>
      <c r="D550" s="9" t="str">
        <f>IFERROR(__xludf.DUMMYFUNCTION("""COMPUTED_VALUE"""),"新北市立三重高級中學")</f>
        <v>新北市立三重高級中學</v>
      </c>
      <c r="E550" s="9" t="str">
        <f>IFERROR(__xludf.DUMMYFUNCTION("""COMPUTED_VALUE"""),"普通科")</f>
        <v>普通科</v>
      </c>
      <c r="F550" s="9" t="str">
        <f>IFERROR(__xludf.DUMMYFUNCTION("""COMPUTED_VALUE"""),"三年級")</f>
        <v>三年級</v>
      </c>
      <c r="G550" s="10" t="str">
        <f>IFERROR(__xludf.DUMMYFUNCTION("""COMPUTED_VALUE"""),"獎狀")</f>
        <v>獎狀</v>
      </c>
      <c r="H550" s="9"/>
    </row>
    <row r="551">
      <c r="A551" s="5" t="s">
        <v>9</v>
      </c>
      <c r="B551" s="9" t="str">
        <f>IFERROR(__xludf.DUMMYFUNCTION("""COMPUTED_VALUE"""),"陳O琳")</f>
        <v>陳O琳</v>
      </c>
      <c r="C551" s="9" t="str">
        <f>IFERROR(__xludf.DUMMYFUNCTION("""COMPUTED_VALUE"""),"lfe*****86@apps.ntpc.edu.tw")</f>
        <v>lfe*****86@apps.ntpc.edu.tw</v>
      </c>
      <c r="D551" s="9" t="str">
        <f>IFERROR(__xludf.DUMMYFUNCTION("""COMPUTED_VALUE"""),"新北市立三重高級中學")</f>
        <v>新北市立三重高級中學</v>
      </c>
      <c r="E551" s="9" t="str">
        <f>IFERROR(__xludf.DUMMYFUNCTION("""COMPUTED_VALUE"""),"普通科")</f>
        <v>普通科</v>
      </c>
      <c r="F551" s="9" t="str">
        <f>IFERROR(__xludf.DUMMYFUNCTION("""COMPUTED_VALUE"""),"三年級")</f>
        <v>三年級</v>
      </c>
      <c r="G551" s="10" t="str">
        <f>IFERROR(__xludf.DUMMYFUNCTION("""COMPUTED_VALUE"""),"獎狀")</f>
        <v>獎狀</v>
      </c>
      <c r="H551" s="9"/>
    </row>
    <row r="552">
      <c r="A552" s="5" t="s">
        <v>9</v>
      </c>
      <c r="B552" s="9" t="str">
        <f>IFERROR(__xludf.DUMMYFUNCTION("""COMPUTED_VALUE"""),"郭O蓉")</f>
        <v>郭O蓉</v>
      </c>
      <c r="C552" s="9" t="str">
        <f>IFERROR(__xludf.DUMMYFUNCTION("""COMPUTED_VALUE"""),"xia*****g19@gmail.com")</f>
        <v>xia*****g19@gmail.com</v>
      </c>
      <c r="D552" s="9" t="str">
        <f>IFERROR(__xludf.DUMMYFUNCTION("""COMPUTED_VALUE"""),"新北市立三重高級中學")</f>
        <v>新北市立三重高級中學</v>
      </c>
      <c r="E552" s="9" t="str">
        <f>IFERROR(__xludf.DUMMYFUNCTION("""COMPUTED_VALUE"""),"普通科")</f>
        <v>普通科</v>
      </c>
      <c r="F552" s="9" t="str">
        <f>IFERROR(__xludf.DUMMYFUNCTION("""COMPUTED_VALUE"""),"三年級")</f>
        <v>三年級</v>
      </c>
      <c r="G552" s="10" t="str">
        <f>IFERROR(__xludf.DUMMYFUNCTION("""COMPUTED_VALUE"""),"獎狀")</f>
        <v>獎狀</v>
      </c>
      <c r="H552" s="9"/>
    </row>
    <row r="553">
      <c r="A553" s="5" t="s">
        <v>9</v>
      </c>
      <c r="B553" s="9" t="str">
        <f>IFERROR(__xludf.DUMMYFUNCTION("""COMPUTED_VALUE"""),"林O慈")</f>
        <v>林O慈</v>
      </c>
      <c r="C553" s="9" t="str">
        <f>IFERROR(__xludf.DUMMYFUNCTION("""COMPUTED_VALUE"""),"ash*****in521@gmail.com")</f>
        <v>ash*****in521@gmail.com</v>
      </c>
      <c r="D553" s="9" t="str">
        <f>IFERROR(__xludf.DUMMYFUNCTION("""COMPUTED_VALUE"""),"新北市立三重高級中學")</f>
        <v>新北市立三重高級中學</v>
      </c>
      <c r="E553" s="9" t="str">
        <f>IFERROR(__xludf.DUMMYFUNCTION("""COMPUTED_VALUE"""),"普通科")</f>
        <v>普通科</v>
      </c>
      <c r="F553" s="9" t="str">
        <f>IFERROR(__xludf.DUMMYFUNCTION("""COMPUTED_VALUE"""),"三年級")</f>
        <v>三年級</v>
      </c>
      <c r="G553" s="10" t="str">
        <f>IFERROR(__xludf.DUMMYFUNCTION("""COMPUTED_VALUE"""),"■商品卡$200")</f>
        <v>■商品卡$200</v>
      </c>
      <c r="H553" s="9"/>
    </row>
    <row r="554">
      <c r="A554" s="5" t="s">
        <v>9</v>
      </c>
      <c r="B554" s="9" t="str">
        <f>IFERROR(__xludf.DUMMYFUNCTION("""COMPUTED_VALUE"""),"曹O萱")</f>
        <v>曹O萱</v>
      </c>
      <c r="C554" s="9" t="str">
        <f>IFERROR(__xludf.DUMMYFUNCTION("""COMPUTED_VALUE"""),"min*****03@gmail.com")</f>
        <v>min*****03@gmail.com</v>
      </c>
      <c r="D554" s="9" t="str">
        <f>IFERROR(__xludf.DUMMYFUNCTION("""COMPUTED_VALUE"""),"新北市立三重高級中學")</f>
        <v>新北市立三重高級中學</v>
      </c>
      <c r="E554" s="9" t="str">
        <f>IFERROR(__xludf.DUMMYFUNCTION("""COMPUTED_VALUE"""),"普通科")</f>
        <v>普通科</v>
      </c>
      <c r="F554" s="9" t="str">
        <f>IFERROR(__xludf.DUMMYFUNCTION("""COMPUTED_VALUE"""),"三年級")</f>
        <v>三年級</v>
      </c>
      <c r="G554" s="10" t="str">
        <f>IFERROR(__xludf.DUMMYFUNCTION("""COMPUTED_VALUE"""),"獎狀")</f>
        <v>獎狀</v>
      </c>
      <c r="H554" s="9"/>
    </row>
    <row r="555">
      <c r="A555" s="5" t="s">
        <v>9</v>
      </c>
      <c r="B555" s="9" t="str">
        <f>IFERROR(__xludf.DUMMYFUNCTION("""COMPUTED_VALUE"""),"張O榕")</f>
        <v>張O榕</v>
      </c>
      <c r="C555" s="9" t="str">
        <f>IFERROR(__xludf.DUMMYFUNCTION("""COMPUTED_VALUE"""),"ter*****21@apps.ntpc.edu.tw")</f>
        <v>ter*****21@apps.ntpc.edu.tw</v>
      </c>
      <c r="D555" s="9" t="str">
        <f>IFERROR(__xludf.DUMMYFUNCTION("""COMPUTED_VALUE"""),"新北市立三重高級中學")</f>
        <v>新北市立三重高級中學</v>
      </c>
      <c r="E555" s="9" t="str">
        <f>IFERROR(__xludf.DUMMYFUNCTION("""COMPUTED_VALUE"""),"普通科")</f>
        <v>普通科</v>
      </c>
      <c r="F555" s="9" t="str">
        <f>IFERROR(__xludf.DUMMYFUNCTION("""COMPUTED_VALUE"""),"三年級")</f>
        <v>三年級</v>
      </c>
      <c r="G555" s="10" t="str">
        <f>IFERROR(__xludf.DUMMYFUNCTION("""COMPUTED_VALUE"""),"獎狀")</f>
        <v>獎狀</v>
      </c>
      <c r="H555" s="9"/>
    </row>
    <row r="556">
      <c r="A556" s="5" t="s">
        <v>9</v>
      </c>
      <c r="B556" s="9" t="str">
        <f>IFERROR(__xludf.DUMMYFUNCTION("""COMPUTED_VALUE"""),"余O璇")</f>
        <v>余O璇</v>
      </c>
      <c r="C556" s="9" t="str">
        <f>IFERROR(__xludf.DUMMYFUNCTION("""COMPUTED_VALUE"""),"sh1*****apps.ntpc.edu.tw")</f>
        <v>sh1*****apps.ntpc.edu.tw</v>
      </c>
      <c r="D556" s="9" t="str">
        <f>IFERROR(__xludf.DUMMYFUNCTION("""COMPUTED_VALUE"""),"新北市立三重高級中學")</f>
        <v>新北市立三重高級中學</v>
      </c>
      <c r="E556" s="9" t="str">
        <f>IFERROR(__xludf.DUMMYFUNCTION("""COMPUTED_VALUE"""),"普通科")</f>
        <v>普通科</v>
      </c>
      <c r="F556" s="9" t="str">
        <f>IFERROR(__xludf.DUMMYFUNCTION("""COMPUTED_VALUE"""),"三年級")</f>
        <v>三年級</v>
      </c>
      <c r="G556" s="10" t="str">
        <f>IFERROR(__xludf.DUMMYFUNCTION("""COMPUTED_VALUE"""),"獎狀")</f>
        <v>獎狀</v>
      </c>
      <c r="H556" s="9"/>
    </row>
    <row r="557">
      <c r="A557" s="5" t="s">
        <v>9</v>
      </c>
      <c r="B557" s="9" t="str">
        <f>IFERROR(__xludf.DUMMYFUNCTION("""COMPUTED_VALUE"""),"楊O翔")</f>
        <v>楊O翔</v>
      </c>
      <c r="C557" s="9" t="str">
        <f>IFERROR(__xludf.DUMMYFUNCTION("""COMPUTED_VALUE"""),"jos*****apps.ntpc.edu.tw")</f>
        <v>jos*****apps.ntpc.edu.tw</v>
      </c>
      <c r="D557" s="9" t="str">
        <f>IFERROR(__xludf.DUMMYFUNCTION("""COMPUTED_VALUE"""),"新北市立三重高級中學")</f>
        <v>新北市立三重高級中學</v>
      </c>
      <c r="E557" s="9" t="str">
        <f>IFERROR(__xludf.DUMMYFUNCTION("""COMPUTED_VALUE"""),"普通科")</f>
        <v>普通科</v>
      </c>
      <c r="F557" s="9" t="str">
        <f>IFERROR(__xludf.DUMMYFUNCTION("""COMPUTED_VALUE"""),"三年級")</f>
        <v>三年級</v>
      </c>
      <c r="G557" s="10" t="str">
        <f>IFERROR(__xludf.DUMMYFUNCTION("""COMPUTED_VALUE"""),"★商品卡$1000")</f>
        <v>★商品卡$1000</v>
      </c>
      <c r="H557" s="9"/>
    </row>
    <row r="558">
      <c r="A558" s="5" t="s">
        <v>9</v>
      </c>
      <c r="B558" s="9" t="str">
        <f>IFERROR(__xludf.DUMMYFUNCTION("""COMPUTED_VALUE"""),"黃O蓁")</f>
        <v>黃O蓁</v>
      </c>
      <c r="C558" s="9" t="str">
        <f>IFERROR(__xludf.DUMMYFUNCTION("""COMPUTED_VALUE"""),"jen*****71108@gmail.com")</f>
        <v>jen*****71108@gmail.com</v>
      </c>
      <c r="D558" s="9" t="str">
        <f>IFERROR(__xludf.DUMMYFUNCTION("""COMPUTED_VALUE"""),"新北市立三重高級中學")</f>
        <v>新北市立三重高級中學</v>
      </c>
      <c r="E558" s="9" t="str">
        <f>IFERROR(__xludf.DUMMYFUNCTION("""COMPUTED_VALUE"""),"普通科")</f>
        <v>普通科</v>
      </c>
      <c r="F558" s="9" t="str">
        <f>IFERROR(__xludf.DUMMYFUNCTION("""COMPUTED_VALUE"""),"三年級")</f>
        <v>三年級</v>
      </c>
      <c r="G558" s="10" t="str">
        <f>IFERROR(__xludf.DUMMYFUNCTION("""COMPUTED_VALUE"""),"獎狀")</f>
        <v>獎狀</v>
      </c>
      <c r="H558" s="9"/>
    </row>
    <row r="559">
      <c r="A559" s="5" t="s">
        <v>9</v>
      </c>
      <c r="B559" s="9" t="str">
        <f>IFERROR(__xludf.DUMMYFUNCTION("""COMPUTED_VALUE"""),"龍O宏")</f>
        <v>龍O宏</v>
      </c>
      <c r="C559" s="9" t="str">
        <f>IFERROR(__xludf.DUMMYFUNCTION("""COMPUTED_VALUE"""),"mic*****ng97@gmail.com")</f>
        <v>mic*****ng97@gmail.com</v>
      </c>
      <c r="D559" s="9" t="str">
        <f>IFERROR(__xludf.DUMMYFUNCTION("""COMPUTED_VALUE"""),"新北市立三重高級中學")</f>
        <v>新北市立三重高級中學</v>
      </c>
      <c r="E559" s="9" t="str">
        <f>IFERROR(__xludf.DUMMYFUNCTION("""COMPUTED_VALUE"""),"普通科")</f>
        <v>普通科</v>
      </c>
      <c r="F559" s="9" t="str">
        <f>IFERROR(__xludf.DUMMYFUNCTION("""COMPUTED_VALUE"""),"三年級")</f>
        <v>三年級</v>
      </c>
      <c r="G559" s="10" t="str">
        <f>IFERROR(__xludf.DUMMYFUNCTION("""COMPUTED_VALUE"""),"獎狀")</f>
        <v>獎狀</v>
      </c>
      <c r="H559" s="9"/>
    </row>
    <row r="560">
      <c r="A560" s="5" t="s">
        <v>9</v>
      </c>
      <c r="B560" s="9" t="str">
        <f>IFERROR(__xludf.DUMMYFUNCTION("""COMPUTED_VALUE"""),"曾O濘")</f>
        <v>曾O濘</v>
      </c>
      <c r="C560" s="9" t="str">
        <f>IFERROR(__xludf.DUMMYFUNCTION("""COMPUTED_VALUE"""),"aur*****seng10@gmail.com")</f>
        <v>aur*****seng10@gmail.com</v>
      </c>
      <c r="D560" s="9" t="str">
        <f>IFERROR(__xludf.DUMMYFUNCTION("""COMPUTED_VALUE"""),"新北市立三重高級中學")</f>
        <v>新北市立三重高級中學</v>
      </c>
      <c r="E560" s="9" t="str">
        <f>IFERROR(__xludf.DUMMYFUNCTION("""COMPUTED_VALUE"""),"普通科")</f>
        <v>普通科</v>
      </c>
      <c r="F560" s="9" t="str">
        <f>IFERROR(__xludf.DUMMYFUNCTION("""COMPUTED_VALUE"""),"三年級")</f>
        <v>三年級</v>
      </c>
      <c r="G560" s="10" t="str">
        <f>IFERROR(__xludf.DUMMYFUNCTION("""COMPUTED_VALUE"""),"獎狀")</f>
        <v>獎狀</v>
      </c>
      <c r="H560" s="9"/>
    </row>
    <row r="561">
      <c r="A561" s="5" t="s">
        <v>9</v>
      </c>
      <c r="B561" s="9" t="str">
        <f>IFERROR(__xludf.DUMMYFUNCTION("""COMPUTED_VALUE"""),"楊O霖")</f>
        <v>楊O霖</v>
      </c>
      <c r="C561" s="9" t="str">
        <f>IFERROR(__xludf.DUMMYFUNCTION("""COMPUTED_VALUE"""),"z10*****apps.ntpc.edu.tw")</f>
        <v>z10*****apps.ntpc.edu.tw</v>
      </c>
      <c r="D561" s="9" t="str">
        <f>IFERROR(__xludf.DUMMYFUNCTION("""COMPUTED_VALUE"""),"新北市立三重高級中學")</f>
        <v>新北市立三重高級中學</v>
      </c>
      <c r="E561" s="9" t="str">
        <f>IFERROR(__xludf.DUMMYFUNCTION("""COMPUTED_VALUE"""),"普通科")</f>
        <v>普通科</v>
      </c>
      <c r="F561" s="9" t="str">
        <f>IFERROR(__xludf.DUMMYFUNCTION("""COMPUTED_VALUE"""),"三年級")</f>
        <v>三年級</v>
      </c>
      <c r="G561" s="10" t="str">
        <f>IFERROR(__xludf.DUMMYFUNCTION("""COMPUTED_VALUE"""),"獎狀")</f>
        <v>獎狀</v>
      </c>
      <c r="H561" s="9"/>
    </row>
    <row r="562">
      <c r="A562" s="5" t="s">
        <v>9</v>
      </c>
      <c r="B562" s="9" t="str">
        <f>IFERROR(__xludf.DUMMYFUNCTION("""COMPUTED_VALUE"""),"許O睿")</f>
        <v>許O睿</v>
      </c>
      <c r="C562" s="9" t="str">
        <f>IFERROR(__xludf.DUMMYFUNCTION("""COMPUTED_VALUE"""),"mik*****2@apps.ntpc.edu.tw")</f>
        <v>mik*****2@apps.ntpc.edu.tw</v>
      </c>
      <c r="D562" s="9" t="str">
        <f>IFERROR(__xludf.DUMMYFUNCTION("""COMPUTED_VALUE"""),"新北市立三重高級中學")</f>
        <v>新北市立三重高級中學</v>
      </c>
      <c r="E562" s="9" t="str">
        <f>IFERROR(__xludf.DUMMYFUNCTION("""COMPUTED_VALUE"""),"普通科")</f>
        <v>普通科</v>
      </c>
      <c r="F562" s="9" t="str">
        <f>IFERROR(__xludf.DUMMYFUNCTION("""COMPUTED_VALUE"""),"三年級")</f>
        <v>三年級</v>
      </c>
      <c r="G562" s="10" t="str">
        <f>IFERROR(__xludf.DUMMYFUNCTION("""COMPUTED_VALUE"""),"獎狀")</f>
        <v>獎狀</v>
      </c>
      <c r="H562" s="9"/>
    </row>
    <row r="563">
      <c r="A563" s="5" t="s">
        <v>9</v>
      </c>
      <c r="B563" s="9" t="str">
        <f>IFERROR(__xludf.DUMMYFUNCTION("""COMPUTED_VALUE"""),"高O麟")</f>
        <v>高O麟</v>
      </c>
      <c r="C563" s="9" t="str">
        <f>IFERROR(__xludf.DUMMYFUNCTION("""COMPUTED_VALUE"""),"kjp*****033@apps.ntpc.edu.tw")</f>
        <v>kjp*****033@apps.ntpc.edu.tw</v>
      </c>
      <c r="D563" s="9" t="str">
        <f>IFERROR(__xludf.DUMMYFUNCTION("""COMPUTED_VALUE"""),"新北市立三重高級中學")</f>
        <v>新北市立三重高級中學</v>
      </c>
      <c r="E563" s="9" t="str">
        <f>IFERROR(__xludf.DUMMYFUNCTION("""COMPUTED_VALUE"""),"普通科")</f>
        <v>普通科</v>
      </c>
      <c r="F563" s="9" t="str">
        <f>IFERROR(__xludf.DUMMYFUNCTION("""COMPUTED_VALUE"""),"三年級")</f>
        <v>三年級</v>
      </c>
      <c r="G563" s="10" t="str">
        <f>IFERROR(__xludf.DUMMYFUNCTION("""COMPUTED_VALUE"""),"獎狀")</f>
        <v>獎狀</v>
      </c>
      <c r="H563" s="9"/>
    </row>
    <row r="564">
      <c r="A564" s="5" t="s">
        <v>9</v>
      </c>
      <c r="B564" s="9" t="str">
        <f>IFERROR(__xludf.DUMMYFUNCTION("""COMPUTED_VALUE"""),"林O臻")</f>
        <v>林O臻</v>
      </c>
      <c r="C564" s="9" t="str">
        <f>IFERROR(__xludf.DUMMYFUNCTION("""COMPUTED_VALUE"""),"jud*****3@apps.ntpc.edu.tw")</f>
        <v>jud*****3@apps.ntpc.edu.tw</v>
      </c>
      <c r="D564" s="9" t="str">
        <f>IFERROR(__xludf.DUMMYFUNCTION("""COMPUTED_VALUE"""),"新北市立三重高級中學")</f>
        <v>新北市立三重高級中學</v>
      </c>
      <c r="E564" s="9" t="str">
        <f>IFERROR(__xludf.DUMMYFUNCTION("""COMPUTED_VALUE"""),"普通科")</f>
        <v>普通科</v>
      </c>
      <c r="F564" s="9" t="str">
        <f>IFERROR(__xludf.DUMMYFUNCTION("""COMPUTED_VALUE"""),"三年級")</f>
        <v>三年級</v>
      </c>
      <c r="G564" s="10" t="str">
        <f>IFERROR(__xludf.DUMMYFUNCTION("""COMPUTED_VALUE"""),"獎狀")</f>
        <v>獎狀</v>
      </c>
      <c r="H564" s="9"/>
    </row>
    <row r="565">
      <c r="A565" s="5" t="s">
        <v>9</v>
      </c>
      <c r="B565" s="9" t="str">
        <f>IFERROR(__xludf.DUMMYFUNCTION("""COMPUTED_VALUE"""),"林O全")</f>
        <v>林O全</v>
      </c>
      <c r="C565" s="9" t="str">
        <f>IFERROR(__xludf.DUMMYFUNCTION("""COMPUTED_VALUE"""),"jac*****567@gmail.com")</f>
        <v>jac*****567@gmail.com</v>
      </c>
      <c r="D565" s="9" t="str">
        <f>IFERROR(__xludf.DUMMYFUNCTION("""COMPUTED_VALUE"""),"新北市立三重高級中學")</f>
        <v>新北市立三重高級中學</v>
      </c>
      <c r="E565" s="9" t="str">
        <f>IFERROR(__xludf.DUMMYFUNCTION("""COMPUTED_VALUE"""),"普通科")</f>
        <v>普通科</v>
      </c>
      <c r="F565" s="9" t="str">
        <f>IFERROR(__xludf.DUMMYFUNCTION("""COMPUTED_VALUE"""),"三年級")</f>
        <v>三年級</v>
      </c>
      <c r="G565" s="10" t="str">
        <f>IFERROR(__xludf.DUMMYFUNCTION("""COMPUTED_VALUE"""),"獎狀")</f>
        <v>獎狀</v>
      </c>
      <c r="H565" s="9"/>
    </row>
    <row r="566">
      <c r="A566" s="5" t="s">
        <v>9</v>
      </c>
      <c r="B566" s="9" t="str">
        <f>IFERROR(__xludf.DUMMYFUNCTION("""COMPUTED_VALUE"""),"李O睿")</f>
        <v>李O睿</v>
      </c>
      <c r="C566" s="9" t="str">
        <f>IFERROR(__xludf.DUMMYFUNCTION("""COMPUTED_VALUE"""),"bhe*****37@mail.edu.tw")</f>
        <v>bhe*****37@mail.edu.tw</v>
      </c>
      <c r="D566" s="9" t="str">
        <f>IFERROR(__xludf.DUMMYFUNCTION("""COMPUTED_VALUE"""),"新北市立三重高級中學")</f>
        <v>新北市立三重高級中學</v>
      </c>
      <c r="E566" s="9" t="str">
        <f>IFERROR(__xludf.DUMMYFUNCTION("""COMPUTED_VALUE"""),"普通科")</f>
        <v>普通科</v>
      </c>
      <c r="F566" s="9" t="str">
        <f>IFERROR(__xludf.DUMMYFUNCTION("""COMPUTED_VALUE"""),"三年級")</f>
        <v>三年級</v>
      </c>
      <c r="G566" s="10" t="str">
        <f>IFERROR(__xludf.DUMMYFUNCTION("""COMPUTED_VALUE"""),"獎狀")</f>
        <v>獎狀</v>
      </c>
      <c r="H566" s="9"/>
    </row>
    <row r="567">
      <c r="A567" s="5" t="s">
        <v>9</v>
      </c>
      <c r="B567" s="9" t="str">
        <f>IFERROR(__xludf.DUMMYFUNCTION("""COMPUTED_VALUE"""),"馬O鈞")</f>
        <v>馬O鈞</v>
      </c>
      <c r="C567" s="9" t="str">
        <f>IFERROR(__xludf.DUMMYFUNCTION("""COMPUTED_VALUE"""),"g09*****668@gmail.com")</f>
        <v>g09*****668@gmail.com</v>
      </c>
      <c r="D567" s="9" t="str">
        <f>IFERROR(__xludf.DUMMYFUNCTION("""COMPUTED_VALUE"""),"新北市立三重高級中學")</f>
        <v>新北市立三重高級中學</v>
      </c>
      <c r="E567" s="9" t="str">
        <f>IFERROR(__xludf.DUMMYFUNCTION("""COMPUTED_VALUE"""),"普通科")</f>
        <v>普通科</v>
      </c>
      <c r="F567" s="9" t="str">
        <f>IFERROR(__xludf.DUMMYFUNCTION("""COMPUTED_VALUE"""),"三年級")</f>
        <v>三年級</v>
      </c>
      <c r="G567" s="10" t="str">
        <f>IFERROR(__xludf.DUMMYFUNCTION("""COMPUTED_VALUE"""),"獎狀")</f>
        <v>獎狀</v>
      </c>
      <c r="H567" s="9"/>
    </row>
    <row r="568">
      <c r="A568" s="5" t="s">
        <v>9</v>
      </c>
      <c r="B568" s="9" t="str">
        <f>IFERROR(__xludf.DUMMYFUNCTION("""COMPUTED_VALUE"""),"邱O茹")</f>
        <v>邱O茹</v>
      </c>
      <c r="C568" s="9" t="str">
        <f>IFERROR(__xludf.DUMMYFUNCTION("""COMPUTED_VALUE"""),"r1u*****@apps.ntpc.edu.tw")</f>
        <v>r1u*****@apps.ntpc.edu.tw</v>
      </c>
      <c r="D568" s="9" t="str">
        <f>IFERROR(__xludf.DUMMYFUNCTION("""COMPUTED_VALUE"""),"新北市立三重高級中學")</f>
        <v>新北市立三重高級中學</v>
      </c>
      <c r="E568" s="9" t="str">
        <f>IFERROR(__xludf.DUMMYFUNCTION("""COMPUTED_VALUE"""),"普通科")</f>
        <v>普通科</v>
      </c>
      <c r="F568" s="9" t="str">
        <f>IFERROR(__xludf.DUMMYFUNCTION("""COMPUTED_VALUE"""),"三年級")</f>
        <v>三年級</v>
      </c>
      <c r="G568" s="10" t="str">
        <f>IFERROR(__xludf.DUMMYFUNCTION("""COMPUTED_VALUE"""),"獎狀")</f>
        <v>獎狀</v>
      </c>
      <c r="H568" s="11"/>
    </row>
    <row r="569">
      <c r="A569" s="5" t="s">
        <v>9</v>
      </c>
      <c r="B569" s="9" t="str">
        <f>IFERROR(__xludf.DUMMYFUNCTION("""COMPUTED_VALUE"""),"黃O澧")</f>
        <v>黃O澧</v>
      </c>
      <c r="C569" s="9" t="str">
        <f>IFERROR(__xludf.DUMMYFUNCTION("""COMPUTED_VALUE"""),"all*****29.ntpc@mail.edu.tw")</f>
        <v>all*****29.ntpc@mail.edu.tw</v>
      </c>
      <c r="D569" s="9" t="str">
        <f>IFERROR(__xludf.DUMMYFUNCTION("""COMPUTED_VALUE"""),"新北市立新莊高級中學")</f>
        <v>新北市立新莊高級中學</v>
      </c>
      <c r="E569" s="9" t="str">
        <f>IFERROR(__xludf.DUMMYFUNCTION("""COMPUTED_VALUE"""),"普通科")</f>
        <v>普通科</v>
      </c>
      <c r="F569" s="9" t="str">
        <f>IFERROR(__xludf.DUMMYFUNCTION("""COMPUTED_VALUE"""),"二年級")</f>
        <v>二年級</v>
      </c>
      <c r="G569" s="10" t="str">
        <f>IFERROR(__xludf.DUMMYFUNCTION("""COMPUTED_VALUE"""),"獎狀")</f>
        <v>獎狀</v>
      </c>
      <c r="H569" s="11"/>
    </row>
    <row r="570">
      <c r="A570" s="5" t="s">
        <v>9</v>
      </c>
      <c r="B570" s="9" t="str">
        <f>IFERROR(__xludf.DUMMYFUNCTION("""COMPUTED_VALUE"""),"蔡O澔")</f>
        <v>蔡O澔</v>
      </c>
      <c r="C570" s="9" t="str">
        <f>IFERROR(__xludf.DUMMYFUNCTION("""COMPUTED_VALUE"""),"lfe*****41@apps.ntpc.edu.tw")</f>
        <v>lfe*****41@apps.ntpc.edu.tw</v>
      </c>
      <c r="D570" s="9" t="str">
        <f>IFERROR(__xludf.DUMMYFUNCTION("""COMPUTED_VALUE"""),"剛恆毅學校財團法人新北市天主教恆毅高級中學")</f>
        <v>剛恆毅學校財團法人新北市天主教恆毅高級中學</v>
      </c>
      <c r="E570" s="9" t="str">
        <f>IFERROR(__xludf.DUMMYFUNCTION("""COMPUTED_VALUE"""),"普通科")</f>
        <v>普通科</v>
      </c>
      <c r="F570" s="9" t="str">
        <f>IFERROR(__xludf.DUMMYFUNCTION("""COMPUTED_VALUE"""),"一年級")</f>
        <v>一年級</v>
      </c>
      <c r="G570" s="10" t="str">
        <f>IFERROR(__xludf.DUMMYFUNCTION("""COMPUTED_VALUE"""),"獎狀")</f>
        <v>獎狀</v>
      </c>
      <c r="H570" s="9"/>
    </row>
    <row r="571">
      <c r="A571" s="5" t="s">
        <v>9</v>
      </c>
      <c r="B571" s="9" t="str">
        <f>IFERROR(__xludf.DUMMYFUNCTION("""COMPUTED_VALUE"""),"廖O嫻")</f>
        <v>廖O嫻</v>
      </c>
      <c r="C571" s="9" t="str">
        <f>IFERROR(__xludf.DUMMYFUNCTION("""COMPUTED_VALUE"""),"cha*****hui@yahoo.com.tw")</f>
        <v>cha*****hui@yahoo.com.tw</v>
      </c>
      <c r="D571" s="9" t="str">
        <f>IFERROR(__xludf.DUMMYFUNCTION("""COMPUTED_VALUE"""),"新北市立丹鳳高級中學")</f>
        <v>新北市立丹鳳高級中學</v>
      </c>
      <c r="E571" s="9" t="str">
        <f>IFERROR(__xludf.DUMMYFUNCTION("""COMPUTED_VALUE"""),"普通科")</f>
        <v>普通科</v>
      </c>
      <c r="F571" s="9" t="str">
        <f>IFERROR(__xludf.DUMMYFUNCTION("""COMPUTED_VALUE"""),"一年級")</f>
        <v>一年級</v>
      </c>
      <c r="G571" s="10" t="str">
        <f>IFERROR(__xludf.DUMMYFUNCTION("""COMPUTED_VALUE"""),"○商品卡$500")</f>
        <v>○商品卡$500</v>
      </c>
      <c r="H571" s="11"/>
    </row>
    <row r="572">
      <c r="A572" s="5" t="s">
        <v>9</v>
      </c>
      <c r="B572" s="9" t="str">
        <f>IFERROR(__xludf.DUMMYFUNCTION("""COMPUTED_VALUE"""),"吳O緹")</f>
        <v>吳O緹</v>
      </c>
      <c r="C572" s="9" t="str">
        <f>IFERROR(__xludf.DUMMYFUNCTION("""COMPUTED_VALUE"""),"wst*****ntpc@mail.edu.tw")</f>
        <v>wst*****ntpc@mail.edu.tw</v>
      </c>
      <c r="D572" s="9" t="str">
        <f>IFERROR(__xludf.DUMMYFUNCTION("""COMPUTED_VALUE"""),"新北市立林口高級中學")</f>
        <v>新北市立林口高級中學</v>
      </c>
      <c r="E572" s="9" t="str">
        <f>IFERROR(__xludf.DUMMYFUNCTION("""COMPUTED_VALUE"""),"普通科")</f>
        <v>普通科</v>
      </c>
      <c r="F572" s="9" t="str">
        <f>IFERROR(__xludf.DUMMYFUNCTION("""COMPUTED_VALUE"""),"一年級")</f>
        <v>一年級</v>
      </c>
      <c r="G572" s="10" t="str">
        <f>IFERROR(__xludf.DUMMYFUNCTION("""COMPUTED_VALUE"""),"獎狀")</f>
        <v>獎狀</v>
      </c>
      <c r="H572" s="11"/>
    </row>
    <row r="573">
      <c r="A573" s="5" t="s">
        <v>9</v>
      </c>
      <c r="B573" s="9" t="str">
        <f>IFERROR(__xludf.DUMMYFUNCTION("""COMPUTED_VALUE"""),"李O昀")</f>
        <v>李O昀</v>
      </c>
      <c r="C573" s="9" t="str">
        <f>IFERROR(__xludf.DUMMYFUNCTION("""COMPUTED_VALUE"""),"f26*****5@apps.ntpc.edu.tw")</f>
        <v>f26*****5@apps.ntpc.edu.tw</v>
      </c>
      <c r="D573" s="9" t="str">
        <f>IFERROR(__xludf.DUMMYFUNCTION("""COMPUTED_VALUE"""),"新北市立林口高級中學")</f>
        <v>新北市立林口高級中學</v>
      </c>
      <c r="E573" s="9" t="str">
        <f>IFERROR(__xludf.DUMMYFUNCTION("""COMPUTED_VALUE"""),"普通科")</f>
        <v>普通科</v>
      </c>
      <c r="F573" s="9" t="str">
        <f>IFERROR(__xludf.DUMMYFUNCTION("""COMPUTED_VALUE"""),"二年級")</f>
        <v>二年級</v>
      </c>
      <c r="G573" s="10" t="str">
        <f>IFERROR(__xludf.DUMMYFUNCTION("""COMPUTED_VALUE"""),"■商品卡$200")</f>
        <v>■商品卡$200</v>
      </c>
      <c r="H573" s="9"/>
    </row>
    <row r="574">
      <c r="A574" s="5" t="s">
        <v>9</v>
      </c>
      <c r="B574" s="9" t="str">
        <f>IFERROR(__xludf.DUMMYFUNCTION("""COMPUTED_VALUE"""),"黃O語")</f>
        <v>黃O語</v>
      </c>
      <c r="C574" s="9" t="str">
        <f>IFERROR(__xludf.DUMMYFUNCTION("""COMPUTED_VALUE"""),"glp*****225@apps.ntpc.edu.tw")</f>
        <v>glp*****225@apps.ntpc.edu.tw</v>
      </c>
      <c r="D574" s="9" t="str">
        <f>IFERROR(__xludf.DUMMYFUNCTION("""COMPUTED_VALUE"""),"新北市私立徐匯高級中學")</f>
        <v>新北市私立徐匯高級中學</v>
      </c>
      <c r="E574" s="9" t="str">
        <f>IFERROR(__xludf.DUMMYFUNCTION("""COMPUTED_VALUE"""),"普通科")</f>
        <v>普通科</v>
      </c>
      <c r="F574" s="9" t="str">
        <f>IFERROR(__xludf.DUMMYFUNCTION("""COMPUTED_VALUE"""),"一年級")</f>
        <v>一年級</v>
      </c>
      <c r="G574" s="10" t="str">
        <f>IFERROR(__xludf.DUMMYFUNCTION("""COMPUTED_VALUE"""),"獎狀")</f>
        <v>獎狀</v>
      </c>
      <c r="H574" s="9"/>
    </row>
    <row r="575">
      <c r="A575" s="5" t="s">
        <v>9</v>
      </c>
      <c r="B575" s="9" t="str">
        <f>IFERROR(__xludf.DUMMYFUNCTION("""COMPUTED_VALUE"""),"陳O存")</f>
        <v>陳O存</v>
      </c>
      <c r="C575" s="9" t="str">
        <f>IFERROR(__xludf.DUMMYFUNCTION("""COMPUTED_VALUE"""),"lu1*****.ntpc@mail.edu.tw")</f>
        <v>lu1*****.ntpc@mail.edu.tw</v>
      </c>
      <c r="D575" s="9" t="str">
        <f>IFERROR(__xludf.DUMMYFUNCTION("""COMPUTED_VALUE"""),"新北市私立徐匯高級中學")</f>
        <v>新北市私立徐匯高級中學</v>
      </c>
      <c r="E575" s="9" t="str">
        <f>IFERROR(__xludf.DUMMYFUNCTION("""COMPUTED_VALUE"""),"普通科")</f>
        <v>普通科</v>
      </c>
      <c r="F575" s="9" t="str">
        <f>IFERROR(__xludf.DUMMYFUNCTION("""COMPUTED_VALUE"""),"一年級")</f>
        <v>一年級</v>
      </c>
      <c r="G575" s="10" t="str">
        <f>IFERROR(__xludf.DUMMYFUNCTION("""COMPUTED_VALUE"""),"獎狀")</f>
        <v>獎狀</v>
      </c>
      <c r="H575" s="9"/>
    </row>
    <row r="576">
      <c r="A576" s="5" t="s">
        <v>9</v>
      </c>
      <c r="B576" s="9" t="str">
        <f>IFERROR(__xludf.DUMMYFUNCTION("""COMPUTED_VALUE"""),"梁O閎")</f>
        <v>梁O閎</v>
      </c>
      <c r="C576" s="9" t="str">
        <f>IFERROR(__xludf.DUMMYFUNCTION("""COMPUTED_VALUE"""),"sho*****28@gmail.com")</f>
        <v>sho*****28@gmail.com</v>
      </c>
      <c r="D576" s="9" t="str">
        <f>IFERROR(__xludf.DUMMYFUNCTION("""COMPUTED_VALUE"""),"新北市私立徐匯高級中學")</f>
        <v>新北市私立徐匯高級中學</v>
      </c>
      <c r="E576" s="9" t="str">
        <f>IFERROR(__xludf.DUMMYFUNCTION("""COMPUTED_VALUE"""),"普通科")</f>
        <v>普通科</v>
      </c>
      <c r="F576" s="9" t="str">
        <f>IFERROR(__xludf.DUMMYFUNCTION("""COMPUTED_VALUE"""),"一年級")</f>
        <v>一年級</v>
      </c>
      <c r="G576" s="10" t="str">
        <f>IFERROR(__xludf.DUMMYFUNCTION("""COMPUTED_VALUE"""),"獎狀")</f>
        <v>獎狀</v>
      </c>
      <c r="H576" s="9"/>
    </row>
    <row r="577">
      <c r="A577" s="5" t="s">
        <v>9</v>
      </c>
      <c r="B577" s="9" t="str">
        <f>IFERROR(__xludf.DUMMYFUNCTION("""COMPUTED_VALUE"""),"李O叡")</f>
        <v>李O叡</v>
      </c>
      <c r="C577" s="9" t="str">
        <f>IFERROR(__xludf.DUMMYFUNCTION("""COMPUTED_VALUE"""),"dan*****29.ntpc@mail.edu.tw")</f>
        <v>dan*****29.ntpc@mail.edu.tw</v>
      </c>
      <c r="D577" s="9" t="str">
        <f>IFERROR(__xludf.DUMMYFUNCTION("""COMPUTED_VALUE"""),"新北市私立徐匯高級中學")</f>
        <v>新北市私立徐匯高級中學</v>
      </c>
      <c r="E577" s="9" t="str">
        <f>IFERROR(__xludf.DUMMYFUNCTION("""COMPUTED_VALUE"""),"普通科")</f>
        <v>普通科</v>
      </c>
      <c r="F577" s="9" t="str">
        <f>IFERROR(__xludf.DUMMYFUNCTION("""COMPUTED_VALUE"""),"一年級")</f>
        <v>一年級</v>
      </c>
      <c r="G577" s="10" t="str">
        <f>IFERROR(__xludf.DUMMYFUNCTION("""COMPUTED_VALUE"""),"★商品卡$1000")</f>
        <v>★商品卡$1000</v>
      </c>
      <c r="H577" s="9"/>
    </row>
    <row r="578">
      <c r="A578" s="5" t="s">
        <v>9</v>
      </c>
      <c r="B578" s="9" t="str">
        <f>IFERROR(__xludf.DUMMYFUNCTION("""COMPUTED_VALUE"""),"王O程")</f>
        <v>王O程</v>
      </c>
      <c r="C578" s="9" t="str">
        <f>IFERROR(__xludf.DUMMYFUNCTION("""COMPUTED_VALUE"""),"ian*****12512@gmail.com")</f>
        <v>ian*****12512@gmail.com</v>
      </c>
      <c r="D578" s="9" t="str">
        <f>IFERROR(__xludf.DUMMYFUNCTION("""COMPUTED_VALUE"""),"新北市私立徐匯高級中學")</f>
        <v>新北市私立徐匯高級中學</v>
      </c>
      <c r="E578" s="9" t="str">
        <f>IFERROR(__xludf.DUMMYFUNCTION("""COMPUTED_VALUE"""),"普通科")</f>
        <v>普通科</v>
      </c>
      <c r="F578" s="9" t="str">
        <f>IFERROR(__xludf.DUMMYFUNCTION("""COMPUTED_VALUE"""),"一年級")</f>
        <v>一年級</v>
      </c>
      <c r="G578" s="10" t="str">
        <f>IFERROR(__xludf.DUMMYFUNCTION("""COMPUTED_VALUE"""),"獎狀")</f>
        <v>獎狀</v>
      </c>
      <c r="H578" s="9"/>
    </row>
    <row r="579">
      <c r="A579" s="5" t="s">
        <v>9</v>
      </c>
      <c r="B579" s="9" t="str">
        <f>IFERROR(__xludf.DUMMYFUNCTION("""COMPUTED_VALUE"""),"陳O佑")</f>
        <v>陳O佑</v>
      </c>
      <c r="C579" s="9" t="str">
        <f>IFERROR(__xludf.DUMMYFUNCTION("""COMPUTED_VALUE"""),"ter*****99@gmail.com")</f>
        <v>ter*****99@gmail.com</v>
      </c>
      <c r="D579" s="9" t="str">
        <f>IFERROR(__xludf.DUMMYFUNCTION("""COMPUTED_VALUE"""),"新北市私立徐匯高級中學")</f>
        <v>新北市私立徐匯高級中學</v>
      </c>
      <c r="E579" s="9" t="str">
        <f>IFERROR(__xludf.DUMMYFUNCTION("""COMPUTED_VALUE"""),"普通科")</f>
        <v>普通科</v>
      </c>
      <c r="F579" s="9" t="str">
        <f>IFERROR(__xludf.DUMMYFUNCTION("""COMPUTED_VALUE"""),"一年級")</f>
        <v>一年級</v>
      </c>
      <c r="G579" s="10" t="str">
        <f>IFERROR(__xludf.DUMMYFUNCTION("""COMPUTED_VALUE"""),"獎狀")</f>
        <v>獎狀</v>
      </c>
      <c r="H579" s="9"/>
    </row>
    <row r="580">
      <c r="A580" s="5" t="s">
        <v>9</v>
      </c>
      <c r="B580" s="9" t="str">
        <f>IFERROR(__xludf.DUMMYFUNCTION("""COMPUTED_VALUE"""),"吳O軒")</f>
        <v>吳O軒</v>
      </c>
      <c r="C580" s="9" t="str">
        <f>IFERROR(__xludf.DUMMYFUNCTION("""COMPUTED_VALUE"""),"jus*****981214@gmail.com")</f>
        <v>jus*****981214@gmail.com</v>
      </c>
      <c r="D580" s="9" t="str">
        <f>IFERROR(__xludf.DUMMYFUNCTION("""COMPUTED_VALUE"""),"新北市私立徐匯高級中學")</f>
        <v>新北市私立徐匯高級中學</v>
      </c>
      <c r="E580" s="9" t="str">
        <f>IFERROR(__xludf.DUMMYFUNCTION("""COMPUTED_VALUE"""),"普通科")</f>
        <v>普通科</v>
      </c>
      <c r="F580" s="9" t="str">
        <f>IFERROR(__xludf.DUMMYFUNCTION("""COMPUTED_VALUE"""),"一年級")</f>
        <v>一年級</v>
      </c>
      <c r="G580" s="10" t="str">
        <f>IFERROR(__xludf.DUMMYFUNCTION("""COMPUTED_VALUE"""),"獎狀")</f>
        <v>獎狀</v>
      </c>
      <c r="H580" s="9"/>
    </row>
    <row r="581">
      <c r="A581" s="5" t="s">
        <v>9</v>
      </c>
      <c r="B581" s="9" t="str">
        <f>IFERROR(__xludf.DUMMYFUNCTION("""COMPUTED_VALUE"""),"蘇O霖")</f>
        <v>蘇O霖</v>
      </c>
      <c r="C581" s="9" t="str">
        <f>IFERROR(__xludf.DUMMYFUNCTION("""COMPUTED_VALUE"""),"990*****o@gmail.com")</f>
        <v>990*****o@gmail.com</v>
      </c>
      <c r="D581" s="9" t="str">
        <f>IFERROR(__xludf.DUMMYFUNCTION("""COMPUTED_VALUE"""),"新北市私立徐匯高級中學")</f>
        <v>新北市私立徐匯高級中學</v>
      </c>
      <c r="E581" s="9" t="str">
        <f>IFERROR(__xludf.DUMMYFUNCTION("""COMPUTED_VALUE"""),"普通科")</f>
        <v>普通科</v>
      </c>
      <c r="F581" s="9" t="str">
        <f>IFERROR(__xludf.DUMMYFUNCTION("""COMPUTED_VALUE"""),"一年級")</f>
        <v>一年級</v>
      </c>
      <c r="G581" s="10" t="str">
        <f>IFERROR(__xludf.DUMMYFUNCTION("""COMPUTED_VALUE"""),"獎狀")</f>
        <v>獎狀</v>
      </c>
      <c r="H581" s="9"/>
    </row>
    <row r="582">
      <c r="A582" s="5" t="s">
        <v>9</v>
      </c>
      <c r="B582" s="9" t="str">
        <f>IFERROR(__xludf.DUMMYFUNCTION("""COMPUTED_VALUE"""),"林O澄")</f>
        <v>林O澄</v>
      </c>
      <c r="C582" s="9" t="str">
        <f>IFERROR(__xludf.DUMMYFUNCTION("""COMPUTED_VALUE"""),"kik*****27@gmail.com")</f>
        <v>kik*****27@gmail.com</v>
      </c>
      <c r="D582" s="9" t="str">
        <f>IFERROR(__xludf.DUMMYFUNCTION("""COMPUTED_VALUE"""),"新北市私立徐匯高級中學")</f>
        <v>新北市私立徐匯高級中學</v>
      </c>
      <c r="E582" s="9" t="str">
        <f>IFERROR(__xludf.DUMMYFUNCTION("""COMPUTED_VALUE"""),"普通科")</f>
        <v>普通科</v>
      </c>
      <c r="F582" s="9" t="str">
        <f>IFERROR(__xludf.DUMMYFUNCTION("""COMPUTED_VALUE"""),"一年級")</f>
        <v>一年級</v>
      </c>
      <c r="G582" s="10" t="str">
        <f>IFERROR(__xludf.DUMMYFUNCTION("""COMPUTED_VALUE"""),"○商品卡$500")</f>
        <v>○商品卡$500</v>
      </c>
      <c r="H582" s="9"/>
    </row>
    <row r="583">
      <c r="A583" s="5" t="s">
        <v>9</v>
      </c>
      <c r="B583" s="9" t="str">
        <f>IFERROR(__xludf.DUMMYFUNCTION("""COMPUTED_VALUE"""),"邱O凱")</f>
        <v>邱O凱</v>
      </c>
      <c r="C583" s="9" t="str">
        <f>IFERROR(__xludf.DUMMYFUNCTION("""COMPUTED_VALUE"""),"don*****88@icloud.com")</f>
        <v>don*****88@icloud.com</v>
      </c>
      <c r="D583" s="9" t="str">
        <f>IFERROR(__xludf.DUMMYFUNCTION("""COMPUTED_VALUE"""),"新北市私立徐匯高級中學")</f>
        <v>新北市私立徐匯高級中學</v>
      </c>
      <c r="E583" s="9" t="str">
        <f>IFERROR(__xludf.DUMMYFUNCTION("""COMPUTED_VALUE"""),"普通科")</f>
        <v>普通科</v>
      </c>
      <c r="F583" s="9" t="str">
        <f>IFERROR(__xludf.DUMMYFUNCTION("""COMPUTED_VALUE"""),"一年級")</f>
        <v>一年級</v>
      </c>
      <c r="G583" s="10" t="str">
        <f>IFERROR(__xludf.DUMMYFUNCTION("""COMPUTED_VALUE"""),"★商品卡$1000")</f>
        <v>★商品卡$1000</v>
      </c>
      <c r="H583" s="9"/>
    </row>
    <row r="584">
      <c r="A584" s="5" t="s">
        <v>9</v>
      </c>
      <c r="B584" s="9" t="str">
        <f>IFERROR(__xludf.DUMMYFUNCTION("""COMPUTED_VALUE"""),"蘇O堯")</f>
        <v>蘇O堯</v>
      </c>
      <c r="C584" s="9" t="str">
        <f>IFERROR(__xludf.DUMMYFUNCTION("""COMPUTED_VALUE"""),"suy*****03@gmail.com")</f>
        <v>suy*****03@gmail.com</v>
      </c>
      <c r="D584" s="9" t="str">
        <f>IFERROR(__xludf.DUMMYFUNCTION("""COMPUTED_VALUE"""),"新北市私立徐匯高級中學")</f>
        <v>新北市私立徐匯高級中學</v>
      </c>
      <c r="E584" s="9" t="str">
        <f>IFERROR(__xludf.DUMMYFUNCTION("""COMPUTED_VALUE"""),"普通科")</f>
        <v>普通科</v>
      </c>
      <c r="F584" s="9" t="str">
        <f>IFERROR(__xludf.DUMMYFUNCTION("""COMPUTED_VALUE"""),"一年級")</f>
        <v>一年級</v>
      </c>
      <c r="G584" s="10" t="str">
        <f>IFERROR(__xludf.DUMMYFUNCTION("""COMPUTED_VALUE"""),"獎狀")</f>
        <v>獎狀</v>
      </c>
      <c r="H584" s="9"/>
    </row>
    <row r="585">
      <c r="A585" s="5" t="s">
        <v>9</v>
      </c>
      <c r="B585" s="9" t="str">
        <f>IFERROR(__xludf.DUMMYFUNCTION("""COMPUTED_VALUE"""),"黃O昇")</f>
        <v>黃O昇</v>
      </c>
      <c r="C585" s="9" t="str">
        <f>IFERROR(__xludf.DUMMYFUNCTION("""COMPUTED_VALUE"""),"eas*****216@apps.ntpc.edu.tw")</f>
        <v>eas*****216@apps.ntpc.edu.tw</v>
      </c>
      <c r="D585" s="9" t="str">
        <f>IFERROR(__xludf.DUMMYFUNCTION("""COMPUTED_VALUE"""),"新北市私立徐匯高級中學")</f>
        <v>新北市私立徐匯高級中學</v>
      </c>
      <c r="E585" s="9" t="str">
        <f>IFERROR(__xludf.DUMMYFUNCTION("""COMPUTED_VALUE"""),"普通科")</f>
        <v>普通科</v>
      </c>
      <c r="F585" s="9" t="str">
        <f>IFERROR(__xludf.DUMMYFUNCTION("""COMPUTED_VALUE"""),"一年級")</f>
        <v>一年級</v>
      </c>
      <c r="G585" s="10" t="str">
        <f>IFERROR(__xludf.DUMMYFUNCTION("""COMPUTED_VALUE"""),"■商品卡$200")</f>
        <v>■商品卡$200</v>
      </c>
      <c r="H585" s="9"/>
    </row>
    <row r="586">
      <c r="A586" s="5" t="s">
        <v>9</v>
      </c>
      <c r="B586" s="9" t="str">
        <f>IFERROR(__xludf.DUMMYFUNCTION("""COMPUTED_VALUE"""),"林O濬")</f>
        <v>林O濬</v>
      </c>
      <c r="C586" s="9" t="str">
        <f>IFERROR(__xludf.DUMMYFUNCTION("""COMPUTED_VALUE"""),"sh1*****@apps.ntpc.edu.tw")</f>
        <v>sh1*****@apps.ntpc.edu.tw</v>
      </c>
      <c r="D586" s="9" t="str">
        <f>IFERROR(__xludf.DUMMYFUNCTION("""COMPUTED_VALUE"""),"新北市私立徐匯高級中學")</f>
        <v>新北市私立徐匯高級中學</v>
      </c>
      <c r="E586" s="9" t="str">
        <f>IFERROR(__xludf.DUMMYFUNCTION("""COMPUTED_VALUE"""),"普通科")</f>
        <v>普通科</v>
      </c>
      <c r="F586" s="9" t="str">
        <f>IFERROR(__xludf.DUMMYFUNCTION("""COMPUTED_VALUE"""),"一年級")</f>
        <v>一年級</v>
      </c>
      <c r="G586" s="10" t="str">
        <f>IFERROR(__xludf.DUMMYFUNCTION("""COMPUTED_VALUE"""),"獎狀")</f>
        <v>獎狀</v>
      </c>
      <c r="H586" s="9"/>
    </row>
    <row r="587">
      <c r="A587" s="5" t="s">
        <v>9</v>
      </c>
      <c r="B587" s="9" t="str">
        <f>IFERROR(__xludf.DUMMYFUNCTION("""COMPUTED_VALUE"""),"李O勳")</f>
        <v>李O勳</v>
      </c>
      <c r="C587" s="9" t="str">
        <f>IFERROR(__xludf.DUMMYFUNCTION("""COMPUTED_VALUE"""),"act*****engxunli@gmail.com")</f>
        <v>act*****engxunli@gmail.com</v>
      </c>
      <c r="D587" s="9" t="str">
        <f>IFERROR(__xludf.DUMMYFUNCTION("""COMPUTED_VALUE"""),"新北市私立徐匯高級中學")</f>
        <v>新北市私立徐匯高級中學</v>
      </c>
      <c r="E587" s="9" t="str">
        <f>IFERROR(__xludf.DUMMYFUNCTION("""COMPUTED_VALUE"""),"普通科")</f>
        <v>普通科</v>
      </c>
      <c r="F587" s="9" t="str">
        <f>IFERROR(__xludf.DUMMYFUNCTION("""COMPUTED_VALUE"""),"一年級")</f>
        <v>一年級</v>
      </c>
      <c r="G587" s="10" t="str">
        <f>IFERROR(__xludf.DUMMYFUNCTION("""COMPUTED_VALUE"""),"獎狀")</f>
        <v>獎狀</v>
      </c>
      <c r="H587" s="9"/>
    </row>
    <row r="588">
      <c r="A588" s="5" t="s">
        <v>9</v>
      </c>
      <c r="B588" s="9" t="str">
        <f>IFERROR(__xludf.DUMMYFUNCTION("""COMPUTED_VALUE"""),"林O叡")</f>
        <v>林O叡</v>
      </c>
      <c r="C588" s="9" t="str">
        <f>IFERROR(__xludf.DUMMYFUNCTION("""COMPUTED_VALUE"""),"jas*****213@apps.ntpc.edu.tw")</f>
        <v>jas*****213@apps.ntpc.edu.tw</v>
      </c>
      <c r="D588" s="9" t="str">
        <f>IFERROR(__xludf.DUMMYFUNCTION("""COMPUTED_VALUE"""),"新北市私立徐匯高級中學")</f>
        <v>新北市私立徐匯高級中學</v>
      </c>
      <c r="E588" s="9" t="str">
        <f>IFERROR(__xludf.DUMMYFUNCTION("""COMPUTED_VALUE"""),"普通科")</f>
        <v>普通科</v>
      </c>
      <c r="F588" s="9" t="str">
        <f>IFERROR(__xludf.DUMMYFUNCTION("""COMPUTED_VALUE"""),"一年級")</f>
        <v>一年級</v>
      </c>
      <c r="G588" s="10" t="str">
        <f>IFERROR(__xludf.DUMMYFUNCTION("""COMPUTED_VALUE"""),"獎狀")</f>
        <v>獎狀</v>
      </c>
      <c r="H588" s="9"/>
    </row>
    <row r="589">
      <c r="A589" s="5" t="s">
        <v>9</v>
      </c>
      <c r="B589" s="9" t="str">
        <f>IFERROR(__xludf.DUMMYFUNCTION("""COMPUTED_VALUE"""),"盧O丞")</f>
        <v>盧O丞</v>
      </c>
      <c r="C589" s="9" t="str">
        <f>IFERROR(__xludf.DUMMYFUNCTION("""COMPUTED_VALUE"""),"lou*****809@gmail.com")</f>
        <v>lou*****809@gmail.com</v>
      </c>
      <c r="D589" s="9" t="str">
        <f>IFERROR(__xludf.DUMMYFUNCTION("""COMPUTED_VALUE"""),"新北市私立徐匯高級中學")</f>
        <v>新北市私立徐匯高級中學</v>
      </c>
      <c r="E589" s="9" t="str">
        <f>IFERROR(__xludf.DUMMYFUNCTION("""COMPUTED_VALUE"""),"普通科")</f>
        <v>普通科</v>
      </c>
      <c r="F589" s="9" t="str">
        <f>IFERROR(__xludf.DUMMYFUNCTION("""COMPUTED_VALUE"""),"一年級")</f>
        <v>一年級</v>
      </c>
      <c r="G589" s="10" t="str">
        <f>IFERROR(__xludf.DUMMYFUNCTION("""COMPUTED_VALUE"""),"獎狀")</f>
        <v>獎狀</v>
      </c>
      <c r="H589" s="9"/>
    </row>
    <row r="590">
      <c r="A590" s="5" t="s">
        <v>9</v>
      </c>
      <c r="B590" s="9" t="str">
        <f>IFERROR(__xludf.DUMMYFUNCTION("""COMPUTED_VALUE"""),"葉O岑")</f>
        <v>葉O岑</v>
      </c>
      <c r="C590" s="9" t="str">
        <f>IFERROR(__xludf.DUMMYFUNCTION("""COMPUTED_VALUE"""),"a24*****0@gmail.com")</f>
        <v>a24*****0@gmail.com</v>
      </c>
      <c r="D590" s="9" t="str">
        <f>IFERROR(__xludf.DUMMYFUNCTION("""COMPUTED_VALUE"""),"新北市私立徐匯高級中學")</f>
        <v>新北市私立徐匯高級中學</v>
      </c>
      <c r="E590" s="9" t="str">
        <f>IFERROR(__xludf.DUMMYFUNCTION("""COMPUTED_VALUE"""),"普通科")</f>
        <v>普通科</v>
      </c>
      <c r="F590" s="9" t="str">
        <f>IFERROR(__xludf.DUMMYFUNCTION("""COMPUTED_VALUE"""),"一年級")</f>
        <v>一年級</v>
      </c>
      <c r="G590" s="10" t="str">
        <f>IFERROR(__xludf.DUMMYFUNCTION("""COMPUTED_VALUE"""),"獎狀")</f>
        <v>獎狀</v>
      </c>
      <c r="H590" s="9"/>
    </row>
    <row r="591">
      <c r="A591" s="5" t="s">
        <v>9</v>
      </c>
      <c r="B591" s="9" t="str">
        <f>IFERROR(__xludf.DUMMYFUNCTION("""COMPUTED_VALUE"""),"李O慶")</f>
        <v>李O慶</v>
      </c>
      <c r="C591" s="9" t="str">
        <f>IFERROR(__xludf.DUMMYFUNCTION("""COMPUTED_VALUE"""),"eas*****001@gmail.com")</f>
        <v>eas*****001@gmail.com</v>
      </c>
      <c r="D591" s="9" t="str">
        <f>IFERROR(__xludf.DUMMYFUNCTION("""COMPUTED_VALUE"""),"新北市私立徐匯高級中學")</f>
        <v>新北市私立徐匯高級中學</v>
      </c>
      <c r="E591" s="9" t="str">
        <f>IFERROR(__xludf.DUMMYFUNCTION("""COMPUTED_VALUE"""),"普通科")</f>
        <v>普通科</v>
      </c>
      <c r="F591" s="9" t="str">
        <f>IFERROR(__xludf.DUMMYFUNCTION("""COMPUTED_VALUE"""),"一年級")</f>
        <v>一年級</v>
      </c>
      <c r="G591" s="10" t="str">
        <f>IFERROR(__xludf.DUMMYFUNCTION("""COMPUTED_VALUE"""),"獎狀")</f>
        <v>獎狀</v>
      </c>
      <c r="H591" s="9"/>
    </row>
    <row r="592">
      <c r="A592" s="5" t="s">
        <v>9</v>
      </c>
      <c r="B592" s="9" t="str">
        <f>IFERROR(__xludf.DUMMYFUNCTION("""COMPUTED_VALUE"""),"許O劼")</f>
        <v>許O劼</v>
      </c>
      <c r="C592" s="9" t="str">
        <f>IFERROR(__xludf.DUMMYFUNCTION("""COMPUTED_VALUE"""),"owe*****0530@gmail.com")</f>
        <v>owe*****0530@gmail.com</v>
      </c>
      <c r="D592" s="9" t="str">
        <f>IFERROR(__xludf.DUMMYFUNCTION("""COMPUTED_VALUE"""),"新北市私立徐匯高級中學")</f>
        <v>新北市私立徐匯高級中學</v>
      </c>
      <c r="E592" s="9" t="str">
        <f>IFERROR(__xludf.DUMMYFUNCTION("""COMPUTED_VALUE"""),"普通科")</f>
        <v>普通科</v>
      </c>
      <c r="F592" s="9" t="str">
        <f>IFERROR(__xludf.DUMMYFUNCTION("""COMPUTED_VALUE"""),"一年級")</f>
        <v>一年級</v>
      </c>
      <c r="G592" s="10" t="str">
        <f>IFERROR(__xludf.DUMMYFUNCTION("""COMPUTED_VALUE"""),"獎狀")</f>
        <v>獎狀</v>
      </c>
      <c r="H592" s="9"/>
    </row>
    <row r="593">
      <c r="A593" s="5" t="s">
        <v>9</v>
      </c>
      <c r="B593" s="9" t="str">
        <f>IFERROR(__xludf.DUMMYFUNCTION("""COMPUTED_VALUE"""),"洪O禹")</f>
        <v>洪O禹</v>
      </c>
      <c r="C593" s="9" t="str">
        <f>IFERROR(__xludf.DUMMYFUNCTION("""COMPUTED_VALUE"""),"har*****199@gmail.com")</f>
        <v>har*****199@gmail.com</v>
      </c>
      <c r="D593" s="9" t="str">
        <f>IFERROR(__xludf.DUMMYFUNCTION("""COMPUTED_VALUE"""),"新北市私立徐匯高級中學")</f>
        <v>新北市私立徐匯高級中學</v>
      </c>
      <c r="E593" s="9" t="str">
        <f>IFERROR(__xludf.DUMMYFUNCTION("""COMPUTED_VALUE"""),"普通科")</f>
        <v>普通科</v>
      </c>
      <c r="F593" s="9" t="str">
        <f>IFERROR(__xludf.DUMMYFUNCTION("""COMPUTED_VALUE"""),"一年級")</f>
        <v>一年級</v>
      </c>
      <c r="G593" s="10" t="str">
        <f>IFERROR(__xludf.DUMMYFUNCTION("""COMPUTED_VALUE"""),"獎狀")</f>
        <v>獎狀</v>
      </c>
      <c r="H593" s="9"/>
    </row>
    <row r="594">
      <c r="A594" s="5" t="s">
        <v>9</v>
      </c>
      <c r="B594" s="9" t="str">
        <f>IFERROR(__xludf.DUMMYFUNCTION("""COMPUTED_VALUE"""),"李O宏")</f>
        <v>李O宏</v>
      </c>
      <c r="C594" s="9" t="str">
        <f>IFERROR(__xludf.DUMMYFUNCTION("""COMPUTED_VALUE"""),"leo*****0.ntpc@mail.edu.tw")</f>
        <v>leo*****0.ntpc@mail.edu.tw</v>
      </c>
      <c r="D594" s="9" t="str">
        <f>IFERROR(__xludf.DUMMYFUNCTION("""COMPUTED_VALUE"""),"新北市私立徐匯高級中學")</f>
        <v>新北市私立徐匯高級中學</v>
      </c>
      <c r="E594" s="9" t="str">
        <f>IFERROR(__xludf.DUMMYFUNCTION("""COMPUTED_VALUE"""),"普通科")</f>
        <v>普通科</v>
      </c>
      <c r="F594" s="9" t="str">
        <f>IFERROR(__xludf.DUMMYFUNCTION("""COMPUTED_VALUE"""),"一年級")</f>
        <v>一年級</v>
      </c>
      <c r="G594" s="10" t="str">
        <f>IFERROR(__xludf.DUMMYFUNCTION("""COMPUTED_VALUE"""),"獎狀")</f>
        <v>獎狀</v>
      </c>
      <c r="H594" s="9"/>
    </row>
    <row r="595">
      <c r="A595" s="5" t="s">
        <v>9</v>
      </c>
      <c r="B595" s="9" t="str">
        <f>IFERROR(__xludf.DUMMYFUNCTION("""COMPUTED_VALUE"""),"沈O傑")</f>
        <v>沈O傑</v>
      </c>
      <c r="C595" s="9" t="str">
        <f>IFERROR(__xludf.DUMMYFUNCTION("""COMPUTED_VALUE"""),"jac*****903@apps.ntpc.edu.tw")</f>
        <v>jac*****903@apps.ntpc.edu.tw</v>
      </c>
      <c r="D595" s="9" t="str">
        <f>IFERROR(__xludf.DUMMYFUNCTION("""COMPUTED_VALUE"""),"新北市私立徐匯高級中學")</f>
        <v>新北市私立徐匯高級中學</v>
      </c>
      <c r="E595" s="9" t="str">
        <f>IFERROR(__xludf.DUMMYFUNCTION("""COMPUTED_VALUE"""),"普通科")</f>
        <v>普通科</v>
      </c>
      <c r="F595" s="9" t="str">
        <f>IFERROR(__xludf.DUMMYFUNCTION("""COMPUTED_VALUE"""),"一年級")</f>
        <v>一年級</v>
      </c>
      <c r="G595" s="10" t="str">
        <f>IFERROR(__xludf.DUMMYFUNCTION("""COMPUTED_VALUE"""),"獎狀")</f>
        <v>獎狀</v>
      </c>
      <c r="H595" s="9"/>
    </row>
    <row r="596">
      <c r="A596" s="5" t="s">
        <v>9</v>
      </c>
      <c r="B596" s="9" t="str">
        <f>IFERROR(__xludf.DUMMYFUNCTION("""COMPUTED_VALUE"""),"林O奇")</f>
        <v>林O奇</v>
      </c>
      <c r="C596" s="9" t="str">
        <f>IFERROR(__xludf.DUMMYFUNCTION("""COMPUTED_VALUE"""),"ys2*****@yuan-sheng.org")</f>
        <v>ys2*****@yuan-sheng.org</v>
      </c>
      <c r="D596" s="9" t="str">
        <f>IFERROR(__xludf.DUMMYFUNCTION("""COMPUTED_VALUE"""),"新北市原聲國際學院實驗教育機構")</f>
        <v>新北市原聲國際學院實驗教育機構</v>
      </c>
      <c r="E596" s="9" t="str">
        <f>IFERROR(__xludf.DUMMYFUNCTION("""COMPUTED_VALUE"""),"普通科")</f>
        <v>普通科</v>
      </c>
      <c r="F596" s="9" t="str">
        <f>IFERROR(__xludf.DUMMYFUNCTION("""COMPUTED_VALUE"""),"二年級")</f>
        <v>二年級</v>
      </c>
      <c r="G596" s="10" t="str">
        <f>IFERROR(__xludf.DUMMYFUNCTION("""COMPUTED_VALUE"""),"獎狀")</f>
        <v>獎狀</v>
      </c>
      <c r="H596" s="9"/>
    </row>
    <row r="597">
      <c r="A597" s="5" t="s">
        <v>9</v>
      </c>
      <c r="B597" s="9" t="str">
        <f>IFERROR(__xludf.DUMMYFUNCTION("""COMPUTED_VALUE"""),"李O綺")</f>
        <v>李O綺</v>
      </c>
      <c r="C597" s="9" t="str">
        <f>IFERROR(__xludf.DUMMYFUNCTION("""COMPUTED_VALUE"""),"ys2*****@yuan-sheng.org")</f>
        <v>ys2*****@yuan-sheng.org</v>
      </c>
      <c r="D597" s="9" t="str">
        <f>IFERROR(__xludf.DUMMYFUNCTION("""COMPUTED_VALUE"""),"新北市原聲國際學院實驗教育機構")</f>
        <v>新北市原聲國際學院實驗教育機構</v>
      </c>
      <c r="E597" s="9" t="str">
        <f>IFERROR(__xludf.DUMMYFUNCTION("""COMPUTED_VALUE"""),"普通科")</f>
        <v>普通科</v>
      </c>
      <c r="F597" s="9" t="str">
        <f>IFERROR(__xludf.DUMMYFUNCTION("""COMPUTED_VALUE"""),"二年級")</f>
        <v>二年級</v>
      </c>
      <c r="G597" s="10" t="str">
        <f>IFERROR(__xludf.DUMMYFUNCTION("""COMPUTED_VALUE"""),"★商品卡$1000")</f>
        <v>★商品卡$1000</v>
      </c>
      <c r="H597" s="9"/>
    </row>
    <row r="598">
      <c r="A598" s="5" t="s">
        <v>9</v>
      </c>
      <c r="B598" s="9" t="str">
        <f>IFERROR(__xludf.DUMMYFUNCTION("""COMPUTED_VALUE"""),"莊O喻")</f>
        <v>莊O喻</v>
      </c>
      <c r="C598" s="9" t="str">
        <f>IFERROR(__xludf.DUMMYFUNCTION("""COMPUTED_VALUE"""),"ys2*****@yuan-sheng.org")</f>
        <v>ys2*****@yuan-sheng.org</v>
      </c>
      <c r="D598" s="9" t="str">
        <f>IFERROR(__xludf.DUMMYFUNCTION("""COMPUTED_VALUE"""),"新北市原聲國際學院實驗教育機構")</f>
        <v>新北市原聲國際學院實驗教育機構</v>
      </c>
      <c r="E598" s="9" t="str">
        <f>IFERROR(__xludf.DUMMYFUNCTION("""COMPUTED_VALUE"""),"普通科")</f>
        <v>普通科</v>
      </c>
      <c r="F598" s="9" t="str">
        <f>IFERROR(__xludf.DUMMYFUNCTION("""COMPUTED_VALUE"""),"二年級")</f>
        <v>二年級</v>
      </c>
      <c r="G598" s="10" t="str">
        <f>IFERROR(__xludf.DUMMYFUNCTION("""COMPUTED_VALUE"""),"獎狀")</f>
        <v>獎狀</v>
      </c>
      <c r="H598" s="9"/>
    </row>
    <row r="599">
      <c r="A599" s="5" t="s">
        <v>9</v>
      </c>
      <c r="B599" s="9" t="str">
        <f>IFERROR(__xludf.DUMMYFUNCTION("""COMPUTED_VALUE"""),"郭O楨")</f>
        <v>郭O楨</v>
      </c>
      <c r="C599" s="9" t="str">
        <f>IFERROR(__xludf.DUMMYFUNCTION("""COMPUTED_VALUE"""),"ys2*****@yuan-sheng.org")</f>
        <v>ys2*****@yuan-sheng.org</v>
      </c>
      <c r="D599" s="9" t="str">
        <f>IFERROR(__xludf.DUMMYFUNCTION("""COMPUTED_VALUE"""),"新北市原聲國際學院實驗教育機構")</f>
        <v>新北市原聲國際學院實驗教育機構</v>
      </c>
      <c r="E599" s="9" t="str">
        <f>IFERROR(__xludf.DUMMYFUNCTION("""COMPUTED_VALUE"""),"普通科")</f>
        <v>普通科</v>
      </c>
      <c r="F599" s="9" t="str">
        <f>IFERROR(__xludf.DUMMYFUNCTION("""COMPUTED_VALUE"""),"二年級")</f>
        <v>二年級</v>
      </c>
      <c r="G599" s="10" t="str">
        <f>IFERROR(__xludf.DUMMYFUNCTION("""COMPUTED_VALUE"""),"獎狀")</f>
        <v>獎狀</v>
      </c>
      <c r="H599" s="9"/>
    </row>
    <row r="600">
      <c r="A600" s="5" t="s">
        <v>9</v>
      </c>
      <c r="B600" s="9" t="str">
        <f>IFERROR(__xludf.DUMMYFUNCTION("""COMPUTED_VALUE"""),"楊O曼")</f>
        <v>楊O曼</v>
      </c>
      <c r="C600" s="9" t="str">
        <f>IFERROR(__xludf.DUMMYFUNCTION("""COMPUTED_VALUE"""),"ys2*****@yuan-sheng.org")</f>
        <v>ys2*****@yuan-sheng.org</v>
      </c>
      <c r="D600" s="9" t="str">
        <f>IFERROR(__xludf.DUMMYFUNCTION("""COMPUTED_VALUE"""),"新北市原聲國際學院實驗教育機構")</f>
        <v>新北市原聲國際學院實驗教育機構</v>
      </c>
      <c r="E600" s="9" t="str">
        <f>IFERROR(__xludf.DUMMYFUNCTION("""COMPUTED_VALUE"""),"普通科")</f>
        <v>普通科</v>
      </c>
      <c r="F600" s="9" t="str">
        <f>IFERROR(__xludf.DUMMYFUNCTION("""COMPUTED_VALUE"""),"二年級")</f>
        <v>二年級</v>
      </c>
      <c r="G600" s="10" t="str">
        <f>IFERROR(__xludf.DUMMYFUNCTION("""COMPUTED_VALUE"""),"獎狀")</f>
        <v>獎狀</v>
      </c>
      <c r="H600" s="9"/>
    </row>
    <row r="601">
      <c r="A601" s="5" t="s">
        <v>9</v>
      </c>
      <c r="B601" s="9" t="str">
        <f>IFERROR(__xludf.DUMMYFUNCTION("""COMPUTED_VALUE"""),"吳O嬡")</f>
        <v>吳O嬡</v>
      </c>
      <c r="C601" s="9" t="str">
        <f>IFERROR(__xludf.DUMMYFUNCTION("""COMPUTED_VALUE"""),"ys2*****@yuan-sheng.org")</f>
        <v>ys2*****@yuan-sheng.org</v>
      </c>
      <c r="D601" s="9" t="str">
        <f>IFERROR(__xludf.DUMMYFUNCTION("""COMPUTED_VALUE"""),"新北市原聲國際學院實驗教育機構")</f>
        <v>新北市原聲國際學院實驗教育機構</v>
      </c>
      <c r="E601" s="9" t="str">
        <f>IFERROR(__xludf.DUMMYFUNCTION("""COMPUTED_VALUE"""),"普通科")</f>
        <v>普通科</v>
      </c>
      <c r="F601" s="9" t="str">
        <f>IFERROR(__xludf.DUMMYFUNCTION("""COMPUTED_VALUE"""),"二年級")</f>
        <v>二年級</v>
      </c>
      <c r="G601" s="10" t="str">
        <f>IFERROR(__xludf.DUMMYFUNCTION("""COMPUTED_VALUE"""),"■商品卡$200")</f>
        <v>■商品卡$200</v>
      </c>
      <c r="H601" s="11"/>
    </row>
    <row r="602">
      <c r="A602" s="5" t="s">
        <v>9</v>
      </c>
      <c r="B602" s="9" t="str">
        <f>IFERROR(__xludf.DUMMYFUNCTION("""COMPUTED_VALUE"""),"劉O蓁")</f>
        <v>劉O蓁</v>
      </c>
      <c r="C602" s="9" t="str">
        <f>IFERROR(__xludf.DUMMYFUNCTION("""COMPUTED_VALUE"""),"mia*****tpc@mail.edu.tw")</f>
        <v>mia*****tpc@mail.edu.tw</v>
      </c>
      <c r="D602" s="9" t="str">
        <f>IFERROR(__xludf.DUMMYFUNCTION("""COMPUTED_VALUE"""),"新北市立淡水高級商工職業學校")</f>
        <v>新北市立淡水高級商工職業學校</v>
      </c>
      <c r="E602" s="9" t="str">
        <f>IFERROR(__xludf.DUMMYFUNCTION("""COMPUTED_VALUE"""),"普通科")</f>
        <v>普通科</v>
      </c>
      <c r="F602" s="9" t="str">
        <f>IFERROR(__xludf.DUMMYFUNCTION("""COMPUTED_VALUE"""),"二年級")</f>
        <v>二年級</v>
      </c>
      <c r="G602" s="10" t="str">
        <f>IFERROR(__xludf.DUMMYFUNCTION("""COMPUTED_VALUE"""),"獎狀")</f>
        <v>獎狀</v>
      </c>
      <c r="H602" s="11"/>
    </row>
    <row r="603">
      <c r="A603" s="5" t="s">
        <v>9</v>
      </c>
      <c r="B603" s="9" t="str">
        <f>IFERROR(__xludf.DUMMYFUNCTION("""COMPUTED_VALUE"""),"簡O鈞")</f>
        <v>簡O鈞</v>
      </c>
      <c r="C603" s="9" t="str">
        <f>IFERROR(__xludf.DUMMYFUNCTION("""COMPUTED_VALUE"""),"s31*****gapp.ylsh.ilc.edu.tw")</f>
        <v>s31*****gapp.ylsh.ilc.edu.tw</v>
      </c>
      <c r="D603" s="9" t="str">
        <f>IFERROR(__xludf.DUMMYFUNCTION("""COMPUTED_VALUE"""),"國立宜蘭高級中學")</f>
        <v>國立宜蘭高級中學</v>
      </c>
      <c r="E603" s="9" t="str">
        <f>IFERROR(__xludf.DUMMYFUNCTION("""COMPUTED_VALUE"""),"普通科")</f>
        <v>普通科</v>
      </c>
      <c r="F603" s="9" t="str">
        <f>IFERROR(__xludf.DUMMYFUNCTION("""COMPUTED_VALUE"""),"二年級")</f>
        <v>二年級</v>
      </c>
      <c r="G603" s="10" t="str">
        <f>IFERROR(__xludf.DUMMYFUNCTION("""COMPUTED_VALUE"""),"○商品卡$500")</f>
        <v>○商品卡$500</v>
      </c>
      <c r="H603" s="9"/>
    </row>
    <row r="604">
      <c r="A604" s="5" t="s">
        <v>9</v>
      </c>
      <c r="B604" s="9" t="str">
        <f>IFERROR(__xludf.DUMMYFUNCTION("""COMPUTED_VALUE"""),"李O聖")</f>
        <v>李O聖</v>
      </c>
      <c r="C604" s="9" t="str">
        <f>IFERROR(__xludf.DUMMYFUNCTION("""COMPUTED_VALUE"""),"s11*****@cdsh.ilc.edu.tw")</f>
        <v>s11*****@cdsh.ilc.edu.tw</v>
      </c>
      <c r="D604" s="9" t="str">
        <f>IFERROR(__xludf.DUMMYFUNCTION("""COMPUTED_VALUE"""),"中道學校財團法人宜蘭縣中道高級中學")</f>
        <v>中道學校財團法人宜蘭縣中道高級中學</v>
      </c>
      <c r="E604" s="9" t="str">
        <f>IFERROR(__xludf.DUMMYFUNCTION("""COMPUTED_VALUE"""),"普通科")</f>
        <v>普通科</v>
      </c>
      <c r="F604" s="9" t="str">
        <f>IFERROR(__xludf.DUMMYFUNCTION("""COMPUTED_VALUE"""),"二年級")</f>
        <v>二年級</v>
      </c>
      <c r="G604" s="10" t="str">
        <f>IFERROR(__xludf.DUMMYFUNCTION("""COMPUTED_VALUE"""),"■商品卡$200")</f>
        <v>■商品卡$200</v>
      </c>
      <c r="H604" s="9"/>
    </row>
    <row r="605">
      <c r="A605" s="5" t="s">
        <v>9</v>
      </c>
      <c r="B605" s="9" t="str">
        <f>IFERROR(__xludf.DUMMYFUNCTION("""COMPUTED_VALUE"""),"李O霈")</f>
        <v>李O霈</v>
      </c>
      <c r="C605" s="9" t="str">
        <f>IFERROR(__xludf.DUMMYFUNCTION("""COMPUTED_VALUE"""),"s11*****@cdsh.ilc.edu.tw")</f>
        <v>s11*****@cdsh.ilc.edu.tw</v>
      </c>
      <c r="D605" s="9" t="str">
        <f>IFERROR(__xludf.DUMMYFUNCTION("""COMPUTED_VALUE"""),"中道學校財團法人宜蘭縣中道高級中學")</f>
        <v>中道學校財團法人宜蘭縣中道高級中學</v>
      </c>
      <c r="E605" s="9" t="str">
        <f>IFERROR(__xludf.DUMMYFUNCTION("""COMPUTED_VALUE"""),"普通科")</f>
        <v>普通科</v>
      </c>
      <c r="F605" s="9" t="str">
        <f>IFERROR(__xludf.DUMMYFUNCTION("""COMPUTED_VALUE"""),"二年級")</f>
        <v>二年級</v>
      </c>
      <c r="G605" s="10" t="str">
        <f>IFERROR(__xludf.DUMMYFUNCTION("""COMPUTED_VALUE"""),"獎狀")</f>
        <v>獎狀</v>
      </c>
      <c r="H605" s="9"/>
    </row>
    <row r="606">
      <c r="A606" s="5" t="s">
        <v>9</v>
      </c>
      <c r="B606" s="9" t="str">
        <f>IFERROR(__xludf.DUMMYFUNCTION("""COMPUTED_VALUE"""),"陳O鈞")</f>
        <v>陳O鈞</v>
      </c>
      <c r="C606" s="9" t="str">
        <f>IFERROR(__xludf.DUMMYFUNCTION("""COMPUTED_VALUE"""),"s11*****@cdsh.ilc.edu.tw")</f>
        <v>s11*****@cdsh.ilc.edu.tw</v>
      </c>
      <c r="D606" s="9" t="str">
        <f>IFERROR(__xludf.DUMMYFUNCTION("""COMPUTED_VALUE"""),"中道學校財團法人宜蘭縣中道高級中學")</f>
        <v>中道學校財團法人宜蘭縣中道高級中學</v>
      </c>
      <c r="E606" s="9" t="str">
        <f>IFERROR(__xludf.DUMMYFUNCTION("""COMPUTED_VALUE"""),"普通科")</f>
        <v>普通科</v>
      </c>
      <c r="F606" s="9" t="str">
        <f>IFERROR(__xludf.DUMMYFUNCTION("""COMPUTED_VALUE"""),"二年級")</f>
        <v>二年級</v>
      </c>
      <c r="G606" s="10" t="str">
        <f>IFERROR(__xludf.DUMMYFUNCTION("""COMPUTED_VALUE"""),"獎狀")</f>
        <v>獎狀</v>
      </c>
      <c r="H606" s="9"/>
    </row>
    <row r="607">
      <c r="A607" s="5" t="s">
        <v>9</v>
      </c>
      <c r="B607" s="9" t="str">
        <f>IFERROR(__xludf.DUMMYFUNCTION("""COMPUTED_VALUE"""),"林O宥")</f>
        <v>林O宥</v>
      </c>
      <c r="C607" s="9" t="str">
        <f>IFERROR(__xludf.DUMMYFUNCTION("""COMPUTED_VALUE"""),"s11*****@cdsh.ilc.edu.tw")</f>
        <v>s11*****@cdsh.ilc.edu.tw</v>
      </c>
      <c r="D607" s="9" t="str">
        <f>IFERROR(__xludf.DUMMYFUNCTION("""COMPUTED_VALUE"""),"中道學校財團法人宜蘭縣中道高級中學")</f>
        <v>中道學校財團法人宜蘭縣中道高級中學</v>
      </c>
      <c r="E607" s="9" t="str">
        <f>IFERROR(__xludf.DUMMYFUNCTION("""COMPUTED_VALUE"""),"普通科")</f>
        <v>普通科</v>
      </c>
      <c r="F607" s="9" t="str">
        <f>IFERROR(__xludf.DUMMYFUNCTION("""COMPUTED_VALUE"""),"二年級")</f>
        <v>二年級</v>
      </c>
      <c r="G607" s="10" t="str">
        <f>IFERROR(__xludf.DUMMYFUNCTION("""COMPUTED_VALUE"""),"■商品卡$200")</f>
        <v>■商品卡$200</v>
      </c>
      <c r="H607" s="9"/>
    </row>
    <row r="608">
      <c r="A608" s="5" t="s">
        <v>9</v>
      </c>
      <c r="B608" s="9" t="str">
        <f>IFERROR(__xludf.DUMMYFUNCTION("""COMPUTED_VALUE"""),"陳O儀")</f>
        <v>陳O儀</v>
      </c>
      <c r="C608" s="9" t="str">
        <f>IFERROR(__xludf.DUMMYFUNCTION("""COMPUTED_VALUE"""),"s11*****@cdsh.ilc.edu.tw")</f>
        <v>s11*****@cdsh.ilc.edu.tw</v>
      </c>
      <c r="D608" s="9" t="str">
        <f>IFERROR(__xludf.DUMMYFUNCTION("""COMPUTED_VALUE"""),"中道學校財團法人宜蘭縣中道高級中學")</f>
        <v>中道學校財團法人宜蘭縣中道高級中學</v>
      </c>
      <c r="E608" s="9" t="str">
        <f>IFERROR(__xludf.DUMMYFUNCTION("""COMPUTED_VALUE"""),"普通科")</f>
        <v>普通科</v>
      </c>
      <c r="F608" s="9" t="str">
        <f>IFERROR(__xludf.DUMMYFUNCTION("""COMPUTED_VALUE"""),"二年級")</f>
        <v>二年級</v>
      </c>
      <c r="G608" s="10" t="str">
        <f>IFERROR(__xludf.DUMMYFUNCTION("""COMPUTED_VALUE"""),"獎狀")</f>
        <v>獎狀</v>
      </c>
      <c r="H608" s="9"/>
    </row>
    <row r="609">
      <c r="A609" s="5" t="s">
        <v>9</v>
      </c>
      <c r="B609" s="9" t="str">
        <f>IFERROR(__xludf.DUMMYFUNCTION("""COMPUTED_VALUE"""),"曾O榮")</f>
        <v>曾O榮</v>
      </c>
      <c r="C609" s="9" t="str">
        <f>IFERROR(__xludf.DUMMYFUNCTION("""COMPUTED_VALUE"""),"s11*****@cdsh.ilc.edu.tw")</f>
        <v>s11*****@cdsh.ilc.edu.tw</v>
      </c>
      <c r="D609" s="9" t="str">
        <f>IFERROR(__xludf.DUMMYFUNCTION("""COMPUTED_VALUE"""),"中道學校財團法人宜蘭縣中道高級中學")</f>
        <v>中道學校財團法人宜蘭縣中道高級中學</v>
      </c>
      <c r="E609" s="9" t="str">
        <f>IFERROR(__xludf.DUMMYFUNCTION("""COMPUTED_VALUE"""),"普通科")</f>
        <v>普通科</v>
      </c>
      <c r="F609" s="9" t="str">
        <f>IFERROR(__xludf.DUMMYFUNCTION("""COMPUTED_VALUE"""),"二年級")</f>
        <v>二年級</v>
      </c>
      <c r="G609" s="10" t="str">
        <f>IFERROR(__xludf.DUMMYFUNCTION("""COMPUTED_VALUE"""),"獎狀")</f>
        <v>獎狀</v>
      </c>
      <c r="H609" s="9"/>
    </row>
    <row r="610">
      <c r="A610" s="5" t="s">
        <v>9</v>
      </c>
      <c r="B610" s="9" t="str">
        <f>IFERROR(__xludf.DUMMYFUNCTION("""COMPUTED_VALUE"""),"張O嘉")</f>
        <v>張O嘉</v>
      </c>
      <c r="C610" s="9" t="str">
        <f>IFERROR(__xludf.DUMMYFUNCTION("""COMPUTED_VALUE"""),"s11*****@cdsh.ilc.edu.tw")</f>
        <v>s11*****@cdsh.ilc.edu.tw</v>
      </c>
      <c r="D610" s="9" t="str">
        <f>IFERROR(__xludf.DUMMYFUNCTION("""COMPUTED_VALUE"""),"中道學校財團法人宜蘭縣中道高級中學")</f>
        <v>中道學校財團法人宜蘭縣中道高級中學</v>
      </c>
      <c r="E610" s="9" t="str">
        <f>IFERROR(__xludf.DUMMYFUNCTION("""COMPUTED_VALUE"""),"普通科")</f>
        <v>普通科</v>
      </c>
      <c r="F610" s="9" t="str">
        <f>IFERROR(__xludf.DUMMYFUNCTION("""COMPUTED_VALUE"""),"二年級")</f>
        <v>二年級</v>
      </c>
      <c r="G610" s="10" t="str">
        <f>IFERROR(__xludf.DUMMYFUNCTION("""COMPUTED_VALUE"""),"獎狀")</f>
        <v>獎狀</v>
      </c>
      <c r="H610" s="9"/>
    </row>
    <row r="611">
      <c r="A611" s="5" t="s">
        <v>9</v>
      </c>
      <c r="B611" s="9" t="str">
        <f>IFERROR(__xludf.DUMMYFUNCTION("""COMPUTED_VALUE"""),"李O")</f>
        <v>李O</v>
      </c>
      <c r="C611" s="9" t="str">
        <f>IFERROR(__xludf.DUMMYFUNCTION("""COMPUTED_VALUE"""),"s11*****@cdsh.ilc.edu.tw")</f>
        <v>s11*****@cdsh.ilc.edu.tw</v>
      </c>
      <c r="D611" s="9" t="str">
        <f>IFERROR(__xludf.DUMMYFUNCTION("""COMPUTED_VALUE"""),"中道學校財團法人宜蘭縣中道高級中學")</f>
        <v>中道學校財團法人宜蘭縣中道高級中學</v>
      </c>
      <c r="E611" s="9" t="str">
        <f>IFERROR(__xludf.DUMMYFUNCTION("""COMPUTED_VALUE"""),"普通科")</f>
        <v>普通科</v>
      </c>
      <c r="F611" s="9" t="str">
        <f>IFERROR(__xludf.DUMMYFUNCTION("""COMPUTED_VALUE"""),"二年級")</f>
        <v>二年級</v>
      </c>
      <c r="G611" s="10" t="str">
        <f>IFERROR(__xludf.DUMMYFUNCTION("""COMPUTED_VALUE"""),"獎狀")</f>
        <v>獎狀</v>
      </c>
      <c r="H611" s="9"/>
    </row>
    <row r="612">
      <c r="A612" s="5" t="s">
        <v>9</v>
      </c>
      <c r="B612" s="9" t="str">
        <f>IFERROR(__xludf.DUMMYFUNCTION("""COMPUTED_VALUE"""),"王O")</f>
        <v>王O</v>
      </c>
      <c r="C612" s="9" t="str">
        <f>IFERROR(__xludf.DUMMYFUNCTION("""COMPUTED_VALUE"""),"s11*****@cdsh.ilc.edu.tw")</f>
        <v>s11*****@cdsh.ilc.edu.tw</v>
      </c>
      <c r="D612" s="9" t="str">
        <f>IFERROR(__xludf.DUMMYFUNCTION("""COMPUTED_VALUE"""),"中道學校財團法人宜蘭縣中道高級中學")</f>
        <v>中道學校財團法人宜蘭縣中道高級中學</v>
      </c>
      <c r="E612" s="9" t="str">
        <f>IFERROR(__xludf.DUMMYFUNCTION("""COMPUTED_VALUE"""),"普通科")</f>
        <v>普通科</v>
      </c>
      <c r="F612" s="9" t="str">
        <f>IFERROR(__xludf.DUMMYFUNCTION("""COMPUTED_VALUE"""),"二年級")</f>
        <v>二年級</v>
      </c>
      <c r="G612" s="10" t="str">
        <f>IFERROR(__xludf.DUMMYFUNCTION("""COMPUTED_VALUE"""),"獎狀")</f>
        <v>獎狀</v>
      </c>
      <c r="H612" s="9"/>
    </row>
    <row r="613">
      <c r="A613" s="5" t="s">
        <v>9</v>
      </c>
      <c r="B613" s="9" t="str">
        <f>IFERROR(__xludf.DUMMYFUNCTION("""COMPUTED_VALUE"""),"羅O辰")</f>
        <v>羅O辰</v>
      </c>
      <c r="C613" s="9" t="str">
        <f>IFERROR(__xludf.DUMMYFUNCTION("""COMPUTED_VALUE"""),"s11*****@cdsh.ilc.edu.tw")</f>
        <v>s11*****@cdsh.ilc.edu.tw</v>
      </c>
      <c r="D613" s="9" t="str">
        <f>IFERROR(__xludf.DUMMYFUNCTION("""COMPUTED_VALUE"""),"中道學校財團法人宜蘭縣中道高級中學")</f>
        <v>中道學校財團法人宜蘭縣中道高級中學</v>
      </c>
      <c r="E613" s="9" t="str">
        <f>IFERROR(__xludf.DUMMYFUNCTION("""COMPUTED_VALUE"""),"普通科")</f>
        <v>普通科</v>
      </c>
      <c r="F613" s="9" t="str">
        <f>IFERROR(__xludf.DUMMYFUNCTION("""COMPUTED_VALUE"""),"二年級")</f>
        <v>二年級</v>
      </c>
      <c r="G613" s="10" t="str">
        <f>IFERROR(__xludf.DUMMYFUNCTION("""COMPUTED_VALUE"""),"★商品卡$1000")</f>
        <v>★商品卡$1000</v>
      </c>
      <c r="H613" s="9"/>
    </row>
    <row r="614">
      <c r="A614" s="5" t="s">
        <v>9</v>
      </c>
      <c r="B614" s="9" t="str">
        <f>IFERROR(__xludf.DUMMYFUNCTION("""COMPUTED_VALUE"""),"余O彣")</f>
        <v>余O彣</v>
      </c>
      <c r="C614" s="9" t="str">
        <f>IFERROR(__xludf.DUMMYFUNCTION("""COMPUTED_VALUE"""),"s11*****@cdsh.ilc.edu.tw")</f>
        <v>s11*****@cdsh.ilc.edu.tw</v>
      </c>
      <c r="D614" s="9" t="str">
        <f>IFERROR(__xludf.DUMMYFUNCTION("""COMPUTED_VALUE"""),"中道學校財團法人宜蘭縣中道高級中學")</f>
        <v>中道學校財團法人宜蘭縣中道高級中學</v>
      </c>
      <c r="E614" s="9" t="str">
        <f>IFERROR(__xludf.DUMMYFUNCTION("""COMPUTED_VALUE"""),"普通科")</f>
        <v>普通科</v>
      </c>
      <c r="F614" s="9" t="str">
        <f>IFERROR(__xludf.DUMMYFUNCTION("""COMPUTED_VALUE"""),"二年級")</f>
        <v>二年級</v>
      </c>
      <c r="G614" s="10" t="str">
        <f>IFERROR(__xludf.DUMMYFUNCTION("""COMPUTED_VALUE"""),"獎狀")</f>
        <v>獎狀</v>
      </c>
      <c r="H614" s="9"/>
    </row>
    <row r="615">
      <c r="A615" s="5" t="s">
        <v>9</v>
      </c>
      <c r="B615" s="9" t="str">
        <f>IFERROR(__xludf.DUMMYFUNCTION("""COMPUTED_VALUE"""),"吳O恬")</f>
        <v>吳O恬</v>
      </c>
      <c r="C615" s="9" t="str">
        <f>IFERROR(__xludf.DUMMYFUNCTION("""COMPUTED_VALUE"""),"s11*****@cdsh.ilc.edu.tw")</f>
        <v>s11*****@cdsh.ilc.edu.tw</v>
      </c>
      <c r="D615" s="9" t="str">
        <f>IFERROR(__xludf.DUMMYFUNCTION("""COMPUTED_VALUE"""),"中道學校財團法人宜蘭縣中道高級中學")</f>
        <v>中道學校財團法人宜蘭縣中道高級中學</v>
      </c>
      <c r="E615" s="9" t="str">
        <f>IFERROR(__xludf.DUMMYFUNCTION("""COMPUTED_VALUE"""),"普通科")</f>
        <v>普通科</v>
      </c>
      <c r="F615" s="9" t="str">
        <f>IFERROR(__xludf.DUMMYFUNCTION("""COMPUTED_VALUE"""),"二年級")</f>
        <v>二年級</v>
      </c>
      <c r="G615" s="10" t="str">
        <f>IFERROR(__xludf.DUMMYFUNCTION("""COMPUTED_VALUE"""),"獎狀")</f>
        <v>獎狀</v>
      </c>
      <c r="H615" s="9"/>
    </row>
    <row r="616">
      <c r="A616" s="5" t="s">
        <v>9</v>
      </c>
      <c r="B616" s="9" t="str">
        <f>IFERROR(__xludf.DUMMYFUNCTION("""COMPUTED_VALUE"""),"陳O亦")</f>
        <v>陳O亦</v>
      </c>
      <c r="C616" s="9" t="str">
        <f>IFERROR(__xludf.DUMMYFUNCTION("""COMPUTED_VALUE"""),"s11*****@cdsh.ilc.edu.tw")</f>
        <v>s11*****@cdsh.ilc.edu.tw</v>
      </c>
      <c r="D616" s="9" t="str">
        <f>IFERROR(__xludf.DUMMYFUNCTION("""COMPUTED_VALUE"""),"中道學校財團法人宜蘭縣中道高級中學")</f>
        <v>中道學校財團法人宜蘭縣中道高級中學</v>
      </c>
      <c r="E616" s="9" t="str">
        <f>IFERROR(__xludf.DUMMYFUNCTION("""COMPUTED_VALUE"""),"普通科")</f>
        <v>普通科</v>
      </c>
      <c r="F616" s="9" t="str">
        <f>IFERROR(__xludf.DUMMYFUNCTION("""COMPUTED_VALUE"""),"二年級")</f>
        <v>二年級</v>
      </c>
      <c r="G616" s="10" t="str">
        <f>IFERROR(__xludf.DUMMYFUNCTION("""COMPUTED_VALUE"""),"獎狀")</f>
        <v>獎狀</v>
      </c>
      <c r="H616" s="9"/>
    </row>
    <row r="617">
      <c r="A617" s="5" t="s">
        <v>9</v>
      </c>
      <c r="B617" s="9" t="str">
        <f>IFERROR(__xludf.DUMMYFUNCTION("""COMPUTED_VALUE"""),"鄭O軒")</f>
        <v>鄭O軒</v>
      </c>
      <c r="C617" s="9" t="str">
        <f>IFERROR(__xludf.DUMMYFUNCTION("""COMPUTED_VALUE"""),"s11*****@cdsh.ilc.edu.tw")</f>
        <v>s11*****@cdsh.ilc.edu.tw</v>
      </c>
      <c r="D617" s="9" t="str">
        <f>IFERROR(__xludf.DUMMYFUNCTION("""COMPUTED_VALUE"""),"中道學校財團法人宜蘭縣中道高級中學")</f>
        <v>中道學校財團法人宜蘭縣中道高級中學</v>
      </c>
      <c r="E617" s="9" t="str">
        <f>IFERROR(__xludf.DUMMYFUNCTION("""COMPUTED_VALUE"""),"普通科")</f>
        <v>普通科</v>
      </c>
      <c r="F617" s="9" t="str">
        <f>IFERROR(__xludf.DUMMYFUNCTION("""COMPUTED_VALUE"""),"二年級")</f>
        <v>二年級</v>
      </c>
      <c r="G617" s="10" t="str">
        <f>IFERROR(__xludf.DUMMYFUNCTION("""COMPUTED_VALUE"""),"獎狀")</f>
        <v>獎狀</v>
      </c>
      <c r="H617" s="9"/>
    </row>
    <row r="618">
      <c r="A618" s="5" t="s">
        <v>9</v>
      </c>
      <c r="B618" s="9" t="str">
        <f>IFERROR(__xludf.DUMMYFUNCTION("""COMPUTED_VALUE"""),"宋O仁")</f>
        <v>宋O仁</v>
      </c>
      <c r="C618" s="9" t="str">
        <f>IFERROR(__xludf.DUMMYFUNCTION("""COMPUTED_VALUE"""),"s11*****@cdsh.ilc.edu.tw")</f>
        <v>s11*****@cdsh.ilc.edu.tw</v>
      </c>
      <c r="D618" s="9" t="str">
        <f>IFERROR(__xludf.DUMMYFUNCTION("""COMPUTED_VALUE"""),"中道學校財團法人宜蘭縣中道高級中學")</f>
        <v>中道學校財團法人宜蘭縣中道高級中學</v>
      </c>
      <c r="E618" s="9" t="str">
        <f>IFERROR(__xludf.DUMMYFUNCTION("""COMPUTED_VALUE"""),"普通科")</f>
        <v>普通科</v>
      </c>
      <c r="F618" s="9" t="str">
        <f>IFERROR(__xludf.DUMMYFUNCTION("""COMPUTED_VALUE"""),"二年級")</f>
        <v>二年級</v>
      </c>
      <c r="G618" s="10" t="str">
        <f>IFERROR(__xludf.DUMMYFUNCTION("""COMPUTED_VALUE"""),"獎狀")</f>
        <v>獎狀</v>
      </c>
      <c r="H618" s="9"/>
    </row>
    <row r="619">
      <c r="A619" s="5" t="s">
        <v>9</v>
      </c>
      <c r="B619" s="9" t="str">
        <f>IFERROR(__xludf.DUMMYFUNCTION("""COMPUTED_VALUE"""),"潘O宏")</f>
        <v>潘O宏</v>
      </c>
      <c r="C619" s="9" t="str">
        <f>IFERROR(__xludf.DUMMYFUNCTION("""COMPUTED_VALUE"""),"s11*****@cdsh.ilc.edu.tw")</f>
        <v>s11*****@cdsh.ilc.edu.tw</v>
      </c>
      <c r="D619" s="9" t="str">
        <f>IFERROR(__xludf.DUMMYFUNCTION("""COMPUTED_VALUE"""),"中道學校財團法人宜蘭縣中道高級中學")</f>
        <v>中道學校財團法人宜蘭縣中道高級中學</v>
      </c>
      <c r="E619" s="9" t="str">
        <f>IFERROR(__xludf.DUMMYFUNCTION("""COMPUTED_VALUE"""),"普通科")</f>
        <v>普通科</v>
      </c>
      <c r="F619" s="9" t="str">
        <f>IFERROR(__xludf.DUMMYFUNCTION("""COMPUTED_VALUE"""),"二年級")</f>
        <v>二年級</v>
      </c>
      <c r="G619" s="10" t="str">
        <f>IFERROR(__xludf.DUMMYFUNCTION("""COMPUTED_VALUE"""),"獎狀")</f>
        <v>獎狀</v>
      </c>
      <c r="H619" s="9"/>
    </row>
    <row r="620">
      <c r="A620" s="5" t="s">
        <v>9</v>
      </c>
      <c r="B620" s="9" t="str">
        <f>IFERROR(__xludf.DUMMYFUNCTION("""COMPUTED_VALUE"""),"莊O寬")</f>
        <v>莊O寬</v>
      </c>
      <c r="C620" s="9" t="str">
        <f>IFERROR(__xludf.DUMMYFUNCTION("""COMPUTED_VALUE"""),"s11*****@cdsh.ilc.edu.tw")</f>
        <v>s11*****@cdsh.ilc.edu.tw</v>
      </c>
      <c r="D620" s="9" t="str">
        <f>IFERROR(__xludf.DUMMYFUNCTION("""COMPUTED_VALUE"""),"中道學校財團法人宜蘭縣中道高級中學")</f>
        <v>中道學校財團法人宜蘭縣中道高級中學</v>
      </c>
      <c r="E620" s="9" t="str">
        <f>IFERROR(__xludf.DUMMYFUNCTION("""COMPUTED_VALUE"""),"普通科")</f>
        <v>普通科</v>
      </c>
      <c r="F620" s="9" t="str">
        <f>IFERROR(__xludf.DUMMYFUNCTION("""COMPUTED_VALUE"""),"二年級")</f>
        <v>二年級</v>
      </c>
      <c r="G620" s="10" t="str">
        <f>IFERROR(__xludf.DUMMYFUNCTION("""COMPUTED_VALUE"""),"獎狀")</f>
        <v>獎狀</v>
      </c>
      <c r="H620" s="9"/>
    </row>
    <row r="621">
      <c r="A621" s="5" t="s">
        <v>9</v>
      </c>
      <c r="B621" s="9" t="str">
        <f>IFERROR(__xludf.DUMMYFUNCTION("""COMPUTED_VALUE"""),"何O綺")</f>
        <v>何O綺</v>
      </c>
      <c r="C621" s="9" t="str">
        <f>IFERROR(__xludf.DUMMYFUNCTION("""COMPUTED_VALUE"""),"s11*****@cdsh.ilc.edu.tw")</f>
        <v>s11*****@cdsh.ilc.edu.tw</v>
      </c>
      <c r="D621" s="9" t="str">
        <f>IFERROR(__xludf.DUMMYFUNCTION("""COMPUTED_VALUE"""),"中道學校財團法人宜蘭縣中道高級中學")</f>
        <v>中道學校財團法人宜蘭縣中道高級中學</v>
      </c>
      <c r="E621" s="9" t="str">
        <f>IFERROR(__xludf.DUMMYFUNCTION("""COMPUTED_VALUE"""),"普通科")</f>
        <v>普通科</v>
      </c>
      <c r="F621" s="9" t="str">
        <f>IFERROR(__xludf.DUMMYFUNCTION("""COMPUTED_VALUE"""),"二年級")</f>
        <v>二年級</v>
      </c>
      <c r="G621" s="10" t="str">
        <f>IFERROR(__xludf.DUMMYFUNCTION("""COMPUTED_VALUE"""),"獎狀")</f>
        <v>獎狀</v>
      </c>
      <c r="H621" s="9"/>
    </row>
    <row r="622">
      <c r="A622" s="5" t="s">
        <v>9</v>
      </c>
      <c r="B622" s="9" t="str">
        <f>IFERROR(__xludf.DUMMYFUNCTION("""COMPUTED_VALUE"""),"吳O慷")</f>
        <v>吳O慷</v>
      </c>
      <c r="C622" s="9" t="str">
        <f>IFERROR(__xludf.DUMMYFUNCTION("""COMPUTED_VALUE"""),"s11*****@cdsh.ilc.edu.tw")</f>
        <v>s11*****@cdsh.ilc.edu.tw</v>
      </c>
      <c r="D622" s="9" t="str">
        <f>IFERROR(__xludf.DUMMYFUNCTION("""COMPUTED_VALUE"""),"中道學校財團法人宜蘭縣中道高級中學")</f>
        <v>中道學校財團法人宜蘭縣中道高級中學</v>
      </c>
      <c r="E622" s="9" t="str">
        <f>IFERROR(__xludf.DUMMYFUNCTION("""COMPUTED_VALUE"""),"普通科")</f>
        <v>普通科</v>
      </c>
      <c r="F622" s="9" t="str">
        <f>IFERROR(__xludf.DUMMYFUNCTION("""COMPUTED_VALUE"""),"二年級")</f>
        <v>二年級</v>
      </c>
      <c r="G622" s="10" t="str">
        <f>IFERROR(__xludf.DUMMYFUNCTION("""COMPUTED_VALUE"""),"獎狀")</f>
        <v>獎狀</v>
      </c>
      <c r="H622" s="9"/>
    </row>
    <row r="623">
      <c r="A623" s="5" t="s">
        <v>9</v>
      </c>
      <c r="B623" s="9" t="str">
        <f>IFERROR(__xludf.DUMMYFUNCTION("""COMPUTED_VALUE"""),"李O倫")</f>
        <v>李O倫</v>
      </c>
      <c r="C623" s="9" t="str">
        <f>IFERROR(__xludf.DUMMYFUNCTION("""COMPUTED_VALUE"""),"s11*****@cdsh.ilc.edu.tw")</f>
        <v>s11*****@cdsh.ilc.edu.tw</v>
      </c>
      <c r="D623" s="9" t="str">
        <f>IFERROR(__xludf.DUMMYFUNCTION("""COMPUTED_VALUE"""),"中道學校財團法人宜蘭縣中道高級中學")</f>
        <v>中道學校財團法人宜蘭縣中道高級中學</v>
      </c>
      <c r="E623" s="9" t="str">
        <f>IFERROR(__xludf.DUMMYFUNCTION("""COMPUTED_VALUE"""),"普通科")</f>
        <v>普通科</v>
      </c>
      <c r="F623" s="9" t="str">
        <f>IFERROR(__xludf.DUMMYFUNCTION("""COMPUTED_VALUE"""),"二年級")</f>
        <v>二年級</v>
      </c>
      <c r="G623" s="10" t="str">
        <f>IFERROR(__xludf.DUMMYFUNCTION("""COMPUTED_VALUE"""),"獎狀")</f>
        <v>獎狀</v>
      </c>
      <c r="H623" s="9"/>
    </row>
    <row r="624">
      <c r="A624" s="5" t="s">
        <v>9</v>
      </c>
      <c r="B624" s="9" t="str">
        <f>IFERROR(__xludf.DUMMYFUNCTION("""COMPUTED_VALUE"""),"柯O云")</f>
        <v>柯O云</v>
      </c>
      <c r="C624" s="9" t="str">
        <f>IFERROR(__xludf.DUMMYFUNCTION("""COMPUTED_VALUE"""),"s11*****@cdsh.ilc.edu.tw")</f>
        <v>s11*****@cdsh.ilc.edu.tw</v>
      </c>
      <c r="D624" s="9" t="str">
        <f>IFERROR(__xludf.DUMMYFUNCTION("""COMPUTED_VALUE"""),"中道學校財團法人宜蘭縣中道高級中學")</f>
        <v>中道學校財團法人宜蘭縣中道高級中學</v>
      </c>
      <c r="E624" s="9" t="str">
        <f>IFERROR(__xludf.DUMMYFUNCTION("""COMPUTED_VALUE"""),"普通科")</f>
        <v>普通科</v>
      </c>
      <c r="F624" s="9" t="str">
        <f>IFERROR(__xludf.DUMMYFUNCTION("""COMPUTED_VALUE"""),"二年級")</f>
        <v>二年級</v>
      </c>
      <c r="G624" s="10" t="str">
        <f>IFERROR(__xludf.DUMMYFUNCTION("""COMPUTED_VALUE"""),"獎狀")</f>
        <v>獎狀</v>
      </c>
      <c r="H624" s="9"/>
    </row>
    <row r="625">
      <c r="A625" s="5" t="s">
        <v>9</v>
      </c>
      <c r="B625" s="9" t="str">
        <f>IFERROR(__xludf.DUMMYFUNCTION("""COMPUTED_VALUE"""),"簡O宣")</f>
        <v>簡O宣</v>
      </c>
      <c r="C625" s="9" t="str">
        <f>IFERROR(__xludf.DUMMYFUNCTION("""COMPUTED_VALUE"""),"s11*****@cdsh.ilc.edu.tw")</f>
        <v>s11*****@cdsh.ilc.edu.tw</v>
      </c>
      <c r="D625" s="9" t="str">
        <f>IFERROR(__xludf.DUMMYFUNCTION("""COMPUTED_VALUE"""),"中道學校財團法人宜蘭縣中道高級中學")</f>
        <v>中道學校財團法人宜蘭縣中道高級中學</v>
      </c>
      <c r="E625" s="9" t="str">
        <f>IFERROR(__xludf.DUMMYFUNCTION("""COMPUTED_VALUE"""),"普通科")</f>
        <v>普通科</v>
      </c>
      <c r="F625" s="9" t="str">
        <f>IFERROR(__xludf.DUMMYFUNCTION("""COMPUTED_VALUE"""),"二年級")</f>
        <v>二年級</v>
      </c>
      <c r="G625" s="10" t="str">
        <f>IFERROR(__xludf.DUMMYFUNCTION("""COMPUTED_VALUE"""),"獎狀")</f>
        <v>獎狀</v>
      </c>
      <c r="H625" s="9"/>
    </row>
    <row r="626">
      <c r="A626" s="5" t="s">
        <v>9</v>
      </c>
      <c r="B626" s="9" t="str">
        <f>IFERROR(__xludf.DUMMYFUNCTION("""COMPUTED_VALUE"""),"李O昊")</f>
        <v>李O昊</v>
      </c>
      <c r="C626" s="9" t="str">
        <f>IFERROR(__xludf.DUMMYFUNCTION("""COMPUTED_VALUE"""),"s11*****@cdsh.ilc.edu.tw")</f>
        <v>s11*****@cdsh.ilc.edu.tw</v>
      </c>
      <c r="D626" s="9" t="str">
        <f>IFERROR(__xludf.DUMMYFUNCTION("""COMPUTED_VALUE"""),"中道學校財團法人宜蘭縣中道高級中學")</f>
        <v>中道學校財團法人宜蘭縣中道高級中學</v>
      </c>
      <c r="E626" s="9" t="str">
        <f>IFERROR(__xludf.DUMMYFUNCTION("""COMPUTED_VALUE"""),"普通科")</f>
        <v>普通科</v>
      </c>
      <c r="F626" s="9" t="str">
        <f>IFERROR(__xludf.DUMMYFUNCTION("""COMPUTED_VALUE"""),"二年級")</f>
        <v>二年級</v>
      </c>
      <c r="G626" s="10" t="str">
        <f>IFERROR(__xludf.DUMMYFUNCTION("""COMPUTED_VALUE"""),"○商品卡$500")</f>
        <v>○商品卡$500</v>
      </c>
      <c r="H626" s="9"/>
    </row>
    <row r="627">
      <c r="A627" s="5" t="s">
        <v>9</v>
      </c>
      <c r="B627" s="9" t="str">
        <f>IFERROR(__xludf.DUMMYFUNCTION("""COMPUTED_VALUE"""),"黃O甯")</f>
        <v>黃O甯</v>
      </c>
      <c r="C627" s="9" t="str">
        <f>IFERROR(__xludf.DUMMYFUNCTION("""COMPUTED_VALUE"""),"yue*****06@gmail.com")</f>
        <v>yue*****06@gmail.com</v>
      </c>
      <c r="D627" s="9" t="str">
        <f>IFERROR(__xludf.DUMMYFUNCTION("""COMPUTED_VALUE"""),"中道學校財團法人宜蘭縣中道高級中學")</f>
        <v>中道學校財團法人宜蘭縣中道高級中學</v>
      </c>
      <c r="E627" s="9" t="str">
        <f>IFERROR(__xludf.DUMMYFUNCTION("""COMPUTED_VALUE"""),"普通科")</f>
        <v>普通科</v>
      </c>
      <c r="F627" s="9" t="str">
        <f>IFERROR(__xludf.DUMMYFUNCTION("""COMPUTED_VALUE"""),"二年級")</f>
        <v>二年級</v>
      </c>
      <c r="G627" s="10" t="str">
        <f>IFERROR(__xludf.DUMMYFUNCTION("""COMPUTED_VALUE"""),"★商品卡$1000")</f>
        <v>★商品卡$1000</v>
      </c>
      <c r="H627" s="9"/>
    </row>
    <row r="628">
      <c r="A628" s="5" t="s">
        <v>9</v>
      </c>
      <c r="B628" s="9" t="str">
        <f>IFERROR(__xludf.DUMMYFUNCTION("""COMPUTED_VALUE"""),"劉O佑")</f>
        <v>劉O佑</v>
      </c>
      <c r="C628" s="9" t="str">
        <f>IFERROR(__xludf.DUMMYFUNCTION("""COMPUTED_VALUE"""),"s11*****@cdsh.ilc.edu.tw")</f>
        <v>s11*****@cdsh.ilc.edu.tw</v>
      </c>
      <c r="D628" s="9" t="str">
        <f>IFERROR(__xludf.DUMMYFUNCTION("""COMPUTED_VALUE"""),"中道學校財團法人宜蘭縣中道高級中學")</f>
        <v>中道學校財團法人宜蘭縣中道高級中學</v>
      </c>
      <c r="E628" s="9" t="str">
        <f>IFERROR(__xludf.DUMMYFUNCTION("""COMPUTED_VALUE"""),"普通科")</f>
        <v>普通科</v>
      </c>
      <c r="F628" s="9" t="str">
        <f>IFERROR(__xludf.DUMMYFUNCTION("""COMPUTED_VALUE"""),"二年級")</f>
        <v>二年級</v>
      </c>
      <c r="G628" s="10" t="str">
        <f>IFERROR(__xludf.DUMMYFUNCTION("""COMPUTED_VALUE"""),"獎狀")</f>
        <v>獎狀</v>
      </c>
      <c r="H628" s="9"/>
    </row>
    <row r="629">
      <c r="A629" s="5" t="s">
        <v>9</v>
      </c>
      <c r="B629" s="9" t="str">
        <f>IFERROR(__xludf.DUMMYFUNCTION("""COMPUTED_VALUE"""),"張O銨")</f>
        <v>張O銨</v>
      </c>
      <c r="C629" s="9" t="str">
        <f>IFERROR(__xludf.DUMMYFUNCTION("""COMPUTED_VALUE"""),"s11*****@cdsh.ilc.edu.tw")</f>
        <v>s11*****@cdsh.ilc.edu.tw</v>
      </c>
      <c r="D629" s="9" t="str">
        <f>IFERROR(__xludf.DUMMYFUNCTION("""COMPUTED_VALUE"""),"中道學校財團法人宜蘭縣中道高級中學")</f>
        <v>中道學校財團法人宜蘭縣中道高級中學</v>
      </c>
      <c r="E629" s="9" t="str">
        <f>IFERROR(__xludf.DUMMYFUNCTION("""COMPUTED_VALUE"""),"普通科")</f>
        <v>普通科</v>
      </c>
      <c r="F629" s="9" t="str">
        <f>IFERROR(__xludf.DUMMYFUNCTION("""COMPUTED_VALUE"""),"二年級")</f>
        <v>二年級</v>
      </c>
      <c r="G629" s="10" t="str">
        <f>IFERROR(__xludf.DUMMYFUNCTION("""COMPUTED_VALUE"""),"獎狀")</f>
        <v>獎狀</v>
      </c>
      <c r="H629" s="9"/>
    </row>
    <row r="630">
      <c r="A630" s="5" t="s">
        <v>9</v>
      </c>
      <c r="B630" s="9" t="str">
        <f>IFERROR(__xludf.DUMMYFUNCTION("""COMPUTED_VALUE"""),"徐O筌")</f>
        <v>徐O筌</v>
      </c>
      <c r="C630" s="9" t="str">
        <f>IFERROR(__xludf.DUMMYFUNCTION("""COMPUTED_VALUE"""),"s11*****@cdsh.ilc.edu.tw")</f>
        <v>s11*****@cdsh.ilc.edu.tw</v>
      </c>
      <c r="D630" s="9" t="str">
        <f>IFERROR(__xludf.DUMMYFUNCTION("""COMPUTED_VALUE"""),"中道學校財團法人宜蘭縣中道高級中學")</f>
        <v>中道學校財團法人宜蘭縣中道高級中學</v>
      </c>
      <c r="E630" s="9" t="str">
        <f>IFERROR(__xludf.DUMMYFUNCTION("""COMPUTED_VALUE"""),"普通科")</f>
        <v>普通科</v>
      </c>
      <c r="F630" s="9" t="str">
        <f>IFERROR(__xludf.DUMMYFUNCTION("""COMPUTED_VALUE"""),"二年級")</f>
        <v>二年級</v>
      </c>
      <c r="G630" s="10" t="str">
        <f>IFERROR(__xludf.DUMMYFUNCTION("""COMPUTED_VALUE"""),"獎狀")</f>
        <v>獎狀</v>
      </c>
      <c r="H630" s="9"/>
    </row>
    <row r="631">
      <c r="A631" s="5" t="s">
        <v>9</v>
      </c>
      <c r="B631" s="9" t="str">
        <f>IFERROR(__xludf.DUMMYFUNCTION("""COMPUTED_VALUE"""),"程O行")</f>
        <v>程O行</v>
      </c>
      <c r="C631" s="9" t="str">
        <f>IFERROR(__xludf.DUMMYFUNCTION("""COMPUTED_VALUE"""),"s11*****@cdsh.ilc.edu.tw")</f>
        <v>s11*****@cdsh.ilc.edu.tw</v>
      </c>
      <c r="D631" s="9" t="str">
        <f>IFERROR(__xludf.DUMMYFUNCTION("""COMPUTED_VALUE"""),"中道學校財團法人宜蘭縣中道高級中學")</f>
        <v>中道學校財團法人宜蘭縣中道高級中學</v>
      </c>
      <c r="E631" s="9" t="str">
        <f>IFERROR(__xludf.DUMMYFUNCTION("""COMPUTED_VALUE"""),"普通科")</f>
        <v>普通科</v>
      </c>
      <c r="F631" s="9" t="str">
        <f>IFERROR(__xludf.DUMMYFUNCTION("""COMPUTED_VALUE"""),"二年級")</f>
        <v>二年級</v>
      </c>
      <c r="G631" s="10" t="str">
        <f>IFERROR(__xludf.DUMMYFUNCTION("""COMPUTED_VALUE"""),"獎狀")</f>
        <v>獎狀</v>
      </c>
      <c r="H631" s="9"/>
    </row>
    <row r="632">
      <c r="A632" s="5" t="s">
        <v>9</v>
      </c>
      <c r="B632" s="9" t="str">
        <f>IFERROR(__xludf.DUMMYFUNCTION("""COMPUTED_VALUE"""),"步O琹")</f>
        <v>步O琹</v>
      </c>
      <c r="C632" s="9" t="str">
        <f>IFERROR(__xludf.DUMMYFUNCTION("""COMPUTED_VALUE"""),"s11*****@cdsh.ilc.edu.tw")</f>
        <v>s11*****@cdsh.ilc.edu.tw</v>
      </c>
      <c r="D632" s="9" t="str">
        <f>IFERROR(__xludf.DUMMYFUNCTION("""COMPUTED_VALUE"""),"中道學校財團法人宜蘭縣中道高級中學")</f>
        <v>中道學校財團法人宜蘭縣中道高級中學</v>
      </c>
      <c r="E632" s="9" t="str">
        <f>IFERROR(__xludf.DUMMYFUNCTION("""COMPUTED_VALUE"""),"普通科")</f>
        <v>普通科</v>
      </c>
      <c r="F632" s="9" t="str">
        <f>IFERROR(__xludf.DUMMYFUNCTION("""COMPUTED_VALUE"""),"二年級")</f>
        <v>二年級</v>
      </c>
      <c r="G632" s="10" t="str">
        <f>IFERROR(__xludf.DUMMYFUNCTION("""COMPUTED_VALUE"""),"獎狀")</f>
        <v>獎狀</v>
      </c>
      <c r="H632" s="9"/>
    </row>
    <row r="633">
      <c r="A633" s="5" t="s">
        <v>9</v>
      </c>
      <c r="B633" s="9" t="str">
        <f>IFERROR(__xludf.DUMMYFUNCTION("""COMPUTED_VALUE"""),"蘇O年")</f>
        <v>蘇O年</v>
      </c>
      <c r="C633" s="9" t="str">
        <f>IFERROR(__xludf.DUMMYFUNCTION("""COMPUTED_VALUE"""),"s11*****@cdsh.ilc.edu.tw")</f>
        <v>s11*****@cdsh.ilc.edu.tw</v>
      </c>
      <c r="D633" s="9" t="str">
        <f>IFERROR(__xludf.DUMMYFUNCTION("""COMPUTED_VALUE"""),"中道學校財團法人宜蘭縣中道高級中學")</f>
        <v>中道學校財團法人宜蘭縣中道高級中學</v>
      </c>
      <c r="E633" s="9" t="str">
        <f>IFERROR(__xludf.DUMMYFUNCTION("""COMPUTED_VALUE"""),"普通科")</f>
        <v>普通科</v>
      </c>
      <c r="F633" s="9" t="str">
        <f>IFERROR(__xludf.DUMMYFUNCTION("""COMPUTED_VALUE"""),"二年級")</f>
        <v>二年級</v>
      </c>
      <c r="G633" s="10" t="str">
        <f>IFERROR(__xludf.DUMMYFUNCTION("""COMPUTED_VALUE"""),"獎狀")</f>
        <v>獎狀</v>
      </c>
      <c r="H633" s="9"/>
    </row>
    <row r="634">
      <c r="A634" s="5" t="s">
        <v>9</v>
      </c>
      <c r="B634" s="9" t="str">
        <f>IFERROR(__xludf.DUMMYFUNCTION("""COMPUTED_VALUE"""),"余O蒨")</f>
        <v>余O蒨</v>
      </c>
      <c r="C634" s="9" t="str">
        <f>IFERROR(__xludf.DUMMYFUNCTION("""COMPUTED_VALUE"""),"s11*****@cdsh.ilc.edu.tw")</f>
        <v>s11*****@cdsh.ilc.edu.tw</v>
      </c>
      <c r="D634" s="9" t="str">
        <f>IFERROR(__xludf.DUMMYFUNCTION("""COMPUTED_VALUE"""),"中道學校財團法人宜蘭縣中道高級中學")</f>
        <v>中道學校財團法人宜蘭縣中道高級中學</v>
      </c>
      <c r="E634" s="9" t="str">
        <f>IFERROR(__xludf.DUMMYFUNCTION("""COMPUTED_VALUE"""),"普通科")</f>
        <v>普通科</v>
      </c>
      <c r="F634" s="9" t="str">
        <f>IFERROR(__xludf.DUMMYFUNCTION("""COMPUTED_VALUE"""),"二年級")</f>
        <v>二年級</v>
      </c>
      <c r="G634" s="10" t="str">
        <f>IFERROR(__xludf.DUMMYFUNCTION("""COMPUTED_VALUE"""),"★商品卡$1000")</f>
        <v>★商品卡$1000</v>
      </c>
      <c r="H634" s="9"/>
    </row>
    <row r="635">
      <c r="A635" s="5" t="s">
        <v>9</v>
      </c>
      <c r="B635" s="9" t="str">
        <f>IFERROR(__xludf.DUMMYFUNCTION("""COMPUTED_VALUE"""),"林O宸")</f>
        <v>林O宸</v>
      </c>
      <c r="C635" s="9" t="str">
        <f>IFERROR(__xludf.DUMMYFUNCTION("""COMPUTED_VALUE"""),"s11*****@cdsh.ilc.edu.tw")</f>
        <v>s11*****@cdsh.ilc.edu.tw</v>
      </c>
      <c r="D635" s="9" t="str">
        <f>IFERROR(__xludf.DUMMYFUNCTION("""COMPUTED_VALUE"""),"中道學校財團法人宜蘭縣中道高級中學")</f>
        <v>中道學校財團法人宜蘭縣中道高級中學</v>
      </c>
      <c r="E635" s="9" t="str">
        <f>IFERROR(__xludf.DUMMYFUNCTION("""COMPUTED_VALUE"""),"普通科")</f>
        <v>普通科</v>
      </c>
      <c r="F635" s="9" t="str">
        <f>IFERROR(__xludf.DUMMYFUNCTION("""COMPUTED_VALUE"""),"二年級")</f>
        <v>二年級</v>
      </c>
      <c r="G635" s="10" t="str">
        <f>IFERROR(__xludf.DUMMYFUNCTION("""COMPUTED_VALUE"""),"獎狀")</f>
        <v>獎狀</v>
      </c>
      <c r="H635" s="9"/>
    </row>
    <row r="636">
      <c r="A636" s="5" t="s">
        <v>9</v>
      </c>
      <c r="B636" s="9" t="str">
        <f>IFERROR(__xludf.DUMMYFUNCTION("""COMPUTED_VALUE"""),"江O叡")</f>
        <v>江O叡</v>
      </c>
      <c r="C636" s="9" t="str">
        <f>IFERROR(__xludf.DUMMYFUNCTION("""COMPUTED_VALUE"""),"s11*****@cdsh.ilc.edu.tw")</f>
        <v>s11*****@cdsh.ilc.edu.tw</v>
      </c>
      <c r="D636" s="9" t="str">
        <f>IFERROR(__xludf.DUMMYFUNCTION("""COMPUTED_VALUE"""),"中道學校財團法人宜蘭縣中道高級中學")</f>
        <v>中道學校財團法人宜蘭縣中道高級中學</v>
      </c>
      <c r="E636" s="9" t="str">
        <f>IFERROR(__xludf.DUMMYFUNCTION("""COMPUTED_VALUE"""),"普通科")</f>
        <v>普通科</v>
      </c>
      <c r="F636" s="9" t="str">
        <f>IFERROR(__xludf.DUMMYFUNCTION("""COMPUTED_VALUE"""),"二年級")</f>
        <v>二年級</v>
      </c>
      <c r="G636" s="10" t="str">
        <f>IFERROR(__xludf.DUMMYFUNCTION("""COMPUTED_VALUE"""),"獎狀")</f>
        <v>獎狀</v>
      </c>
      <c r="H636" s="9"/>
    </row>
    <row r="637">
      <c r="A637" s="5" t="s">
        <v>9</v>
      </c>
      <c r="B637" s="9" t="str">
        <f>IFERROR(__xludf.DUMMYFUNCTION("""COMPUTED_VALUE"""),"張O澂")</f>
        <v>張O澂</v>
      </c>
      <c r="C637" s="9" t="str">
        <f>IFERROR(__xludf.DUMMYFUNCTION("""COMPUTED_VALUE"""),"s11*****@cdsh.ilc.edu.tw")</f>
        <v>s11*****@cdsh.ilc.edu.tw</v>
      </c>
      <c r="D637" s="9" t="str">
        <f>IFERROR(__xludf.DUMMYFUNCTION("""COMPUTED_VALUE"""),"中道學校財團法人宜蘭縣中道高級中學")</f>
        <v>中道學校財團法人宜蘭縣中道高級中學</v>
      </c>
      <c r="E637" s="9" t="str">
        <f>IFERROR(__xludf.DUMMYFUNCTION("""COMPUTED_VALUE"""),"普通科")</f>
        <v>普通科</v>
      </c>
      <c r="F637" s="9" t="str">
        <f>IFERROR(__xludf.DUMMYFUNCTION("""COMPUTED_VALUE"""),"二年級")</f>
        <v>二年級</v>
      </c>
      <c r="G637" s="10" t="str">
        <f>IFERROR(__xludf.DUMMYFUNCTION("""COMPUTED_VALUE"""),"獎狀")</f>
        <v>獎狀</v>
      </c>
      <c r="H637" s="9"/>
    </row>
    <row r="638">
      <c r="A638" s="5" t="s">
        <v>9</v>
      </c>
      <c r="B638" s="9" t="str">
        <f>IFERROR(__xludf.DUMMYFUNCTION("""COMPUTED_VALUE"""),"吳O蓁")</f>
        <v>吳O蓁</v>
      </c>
      <c r="C638" s="9" t="str">
        <f>IFERROR(__xludf.DUMMYFUNCTION("""COMPUTED_VALUE"""),"s21*****sphs.hc.edu.tw")</f>
        <v>s21*****sphs.hc.edu.tw</v>
      </c>
      <c r="D638" s="9" t="str">
        <f>IFERROR(__xludf.DUMMYFUNCTION("""COMPUTED_VALUE"""),"新竹市私立磐石高級中學")</f>
        <v>新竹市私立磐石高級中學</v>
      </c>
      <c r="E638" s="9" t="str">
        <f>IFERROR(__xludf.DUMMYFUNCTION("""COMPUTED_VALUE"""),"普通科")</f>
        <v>普通科</v>
      </c>
      <c r="F638" s="9" t="str">
        <f>IFERROR(__xludf.DUMMYFUNCTION("""COMPUTED_VALUE"""),"二年級")</f>
        <v>二年級</v>
      </c>
      <c r="G638" s="10" t="str">
        <f>IFERROR(__xludf.DUMMYFUNCTION("""COMPUTED_VALUE"""),"獎狀")</f>
        <v>獎狀</v>
      </c>
      <c r="H638" s="9"/>
    </row>
    <row r="639">
      <c r="A639" s="5" t="s">
        <v>9</v>
      </c>
      <c r="B639" s="9" t="str">
        <f>IFERROR(__xludf.DUMMYFUNCTION("""COMPUTED_VALUE"""),"章O儀")</f>
        <v>章O儀</v>
      </c>
      <c r="C639" s="9" t="str">
        <f>IFERROR(__xludf.DUMMYFUNCTION("""COMPUTED_VALUE"""),"s21*****sphs.hc.edu.tw")</f>
        <v>s21*****sphs.hc.edu.tw</v>
      </c>
      <c r="D639" s="9" t="str">
        <f>IFERROR(__xludf.DUMMYFUNCTION("""COMPUTED_VALUE"""),"新竹市私立磐石高級中學")</f>
        <v>新竹市私立磐石高級中學</v>
      </c>
      <c r="E639" s="9" t="str">
        <f>IFERROR(__xludf.DUMMYFUNCTION("""COMPUTED_VALUE"""),"普通科")</f>
        <v>普通科</v>
      </c>
      <c r="F639" s="9" t="str">
        <f>IFERROR(__xludf.DUMMYFUNCTION("""COMPUTED_VALUE"""),"二年級")</f>
        <v>二年級</v>
      </c>
      <c r="G639" s="10" t="str">
        <f>IFERROR(__xludf.DUMMYFUNCTION("""COMPUTED_VALUE"""),"獎狀")</f>
        <v>獎狀</v>
      </c>
      <c r="H639" s="9"/>
    </row>
    <row r="640">
      <c r="A640" s="5" t="s">
        <v>9</v>
      </c>
      <c r="B640" s="9" t="str">
        <f>IFERROR(__xludf.DUMMYFUNCTION("""COMPUTED_VALUE"""),"陳O翰")</f>
        <v>陳O翰</v>
      </c>
      <c r="C640" s="9" t="str">
        <f>IFERROR(__xludf.DUMMYFUNCTION("""COMPUTED_VALUE"""),"s21*****sphs.hc.edu.tw")</f>
        <v>s21*****sphs.hc.edu.tw</v>
      </c>
      <c r="D640" s="9" t="str">
        <f>IFERROR(__xludf.DUMMYFUNCTION("""COMPUTED_VALUE"""),"新竹市私立磐石高級中學")</f>
        <v>新竹市私立磐石高級中學</v>
      </c>
      <c r="E640" s="9" t="str">
        <f>IFERROR(__xludf.DUMMYFUNCTION("""COMPUTED_VALUE"""),"普通科")</f>
        <v>普通科</v>
      </c>
      <c r="F640" s="9" t="str">
        <f>IFERROR(__xludf.DUMMYFUNCTION("""COMPUTED_VALUE"""),"二年級")</f>
        <v>二年級</v>
      </c>
      <c r="G640" s="10" t="str">
        <f>IFERROR(__xludf.DUMMYFUNCTION("""COMPUTED_VALUE"""),"獎狀")</f>
        <v>獎狀</v>
      </c>
      <c r="H640" s="9"/>
    </row>
    <row r="641">
      <c r="A641" s="5" t="s">
        <v>9</v>
      </c>
      <c r="B641" s="9" t="str">
        <f>IFERROR(__xludf.DUMMYFUNCTION("""COMPUTED_VALUE"""),"吳O芸")</f>
        <v>吳O芸</v>
      </c>
      <c r="C641" s="9" t="str">
        <f>IFERROR(__xludf.DUMMYFUNCTION("""COMPUTED_VALUE"""),"s21*****sphs.hc.edu.tw")</f>
        <v>s21*****sphs.hc.edu.tw</v>
      </c>
      <c r="D641" s="9" t="str">
        <f>IFERROR(__xludf.DUMMYFUNCTION("""COMPUTED_VALUE"""),"新竹市私立磐石高級中學")</f>
        <v>新竹市私立磐石高級中學</v>
      </c>
      <c r="E641" s="9" t="str">
        <f>IFERROR(__xludf.DUMMYFUNCTION("""COMPUTED_VALUE"""),"普通科")</f>
        <v>普通科</v>
      </c>
      <c r="F641" s="9" t="str">
        <f>IFERROR(__xludf.DUMMYFUNCTION("""COMPUTED_VALUE"""),"二年級")</f>
        <v>二年級</v>
      </c>
      <c r="G641" s="10" t="str">
        <f>IFERROR(__xludf.DUMMYFUNCTION("""COMPUTED_VALUE"""),"獎狀")</f>
        <v>獎狀</v>
      </c>
      <c r="H641" s="9"/>
    </row>
    <row r="642">
      <c r="A642" s="5" t="s">
        <v>9</v>
      </c>
      <c r="B642" s="9" t="str">
        <f>IFERROR(__xludf.DUMMYFUNCTION("""COMPUTED_VALUE"""),"紀O良")</f>
        <v>紀O良</v>
      </c>
      <c r="C642" s="9" t="str">
        <f>IFERROR(__xludf.DUMMYFUNCTION("""COMPUTED_VALUE"""),"s21*****sphs.hc.edu.tw")</f>
        <v>s21*****sphs.hc.edu.tw</v>
      </c>
      <c r="D642" s="9" t="str">
        <f>IFERROR(__xludf.DUMMYFUNCTION("""COMPUTED_VALUE"""),"新竹市私立磐石高級中學")</f>
        <v>新竹市私立磐石高級中學</v>
      </c>
      <c r="E642" s="9" t="str">
        <f>IFERROR(__xludf.DUMMYFUNCTION("""COMPUTED_VALUE"""),"普通科")</f>
        <v>普通科</v>
      </c>
      <c r="F642" s="9" t="str">
        <f>IFERROR(__xludf.DUMMYFUNCTION("""COMPUTED_VALUE"""),"二年級")</f>
        <v>二年級</v>
      </c>
      <c r="G642" s="10" t="str">
        <f>IFERROR(__xludf.DUMMYFUNCTION("""COMPUTED_VALUE"""),"獎狀")</f>
        <v>獎狀</v>
      </c>
      <c r="H642" s="9"/>
    </row>
    <row r="643">
      <c r="A643" s="5" t="s">
        <v>9</v>
      </c>
      <c r="B643" s="9" t="str">
        <f>IFERROR(__xludf.DUMMYFUNCTION("""COMPUTED_VALUE"""),"許O辰")</f>
        <v>許O辰</v>
      </c>
      <c r="C643" s="9" t="str">
        <f>IFERROR(__xludf.DUMMYFUNCTION("""COMPUTED_VALUE"""),"s21*****sphs.hc.edu.tw")</f>
        <v>s21*****sphs.hc.edu.tw</v>
      </c>
      <c r="D643" s="9" t="str">
        <f>IFERROR(__xludf.DUMMYFUNCTION("""COMPUTED_VALUE"""),"新竹市私立磐石高級中學")</f>
        <v>新竹市私立磐石高級中學</v>
      </c>
      <c r="E643" s="9" t="str">
        <f>IFERROR(__xludf.DUMMYFUNCTION("""COMPUTED_VALUE"""),"普通科")</f>
        <v>普通科</v>
      </c>
      <c r="F643" s="9" t="str">
        <f>IFERROR(__xludf.DUMMYFUNCTION("""COMPUTED_VALUE"""),"二年級")</f>
        <v>二年級</v>
      </c>
      <c r="G643" s="10" t="str">
        <f>IFERROR(__xludf.DUMMYFUNCTION("""COMPUTED_VALUE"""),"獎狀")</f>
        <v>獎狀</v>
      </c>
      <c r="H643" s="9"/>
    </row>
    <row r="644">
      <c r="A644" s="5" t="s">
        <v>9</v>
      </c>
      <c r="B644" s="9" t="str">
        <f>IFERROR(__xludf.DUMMYFUNCTION("""COMPUTED_VALUE"""),"劉O慧")</f>
        <v>劉O慧</v>
      </c>
      <c r="C644" s="9" t="str">
        <f>IFERROR(__xludf.DUMMYFUNCTION("""COMPUTED_VALUE"""),"s21*****sphs.hc.edu.tw")</f>
        <v>s21*****sphs.hc.edu.tw</v>
      </c>
      <c r="D644" s="9" t="str">
        <f>IFERROR(__xludf.DUMMYFUNCTION("""COMPUTED_VALUE"""),"新竹市私立磐石高級中學")</f>
        <v>新竹市私立磐石高級中學</v>
      </c>
      <c r="E644" s="9" t="str">
        <f>IFERROR(__xludf.DUMMYFUNCTION("""COMPUTED_VALUE"""),"普通科")</f>
        <v>普通科</v>
      </c>
      <c r="F644" s="9" t="str">
        <f>IFERROR(__xludf.DUMMYFUNCTION("""COMPUTED_VALUE"""),"二年級")</f>
        <v>二年級</v>
      </c>
      <c r="G644" s="10" t="str">
        <f>IFERROR(__xludf.DUMMYFUNCTION("""COMPUTED_VALUE"""),"★商品卡$1000")</f>
        <v>★商品卡$1000</v>
      </c>
      <c r="H644" s="9"/>
    </row>
    <row r="645">
      <c r="A645" s="5" t="s">
        <v>9</v>
      </c>
      <c r="B645" s="9" t="str">
        <f>IFERROR(__xludf.DUMMYFUNCTION("""COMPUTED_VALUE"""),"潘O馨")</f>
        <v>潘O馨</v>
      </c>
      <c r="C645" s="9" t="str">
        <f>IFERROR(__xludf.DUMMYFUNCTION("""COMPUTED_VALUE"""),"s21*****sphs.hc.edu.tw")</f>
        <v>s21*****sphs.hc.edu.tw</v>
      </c>
      <c r="D645" s="9" t="str">
        <f>IFERROR(__xludf.DUMMYFUNCTION("""COMPUTED_VALUE"""),"新竹市私立磐石高級中學")</f>
        <v>新竹市私立磐石高級中學</v>
      </c>
      <c r="E645" s="9" t="str">
        <f>IFERROR(__xludf.DUMMYFUNCTION("""COMPUTED_VALUE"""),"普通科")</f>
        <v>普通科</v>
      </c>
      <c r="F645" s="9" t="str">
        <f>IFERROR(__xludf.DUMMYFUNCTION("""COMPUTED_VALUE"""),"二年級")</f>
        <v>二年級</v>
      </c>
      <c r="G645" s="10" t="str">
        <f>IFERROR(__xludf.DUMMYFUNCTION("""COMPUTED_VALUE"""),"獎狀")</f>
        <v>獎狀</v>
      </c>
      <c r="H645" s="9"/>
    </row>
    <row r="646">
      <c r="A646" s="5" t="s">
        <v>9</v>
      </c>
      <c r="B646" s="9" t="str">
        <f>IFERROR(__xludf.DUMMYFUNCTION("""COMPUTED_VALUE"""),"彭O齊")</f>
        <v>彭O齊</v>
      </c>
      <c r="C646" s="9" t="str">
        <f>IFERROR(__xludf.DUMMYFUNCTION("""COMPUTED_VALUE"""),"s21*****sphs.hc.edu.tw")</f>
        <v>s21*****sphs.hc.edu.tw</v>
      </c>
      <c r="D646" s="9" t="str">
        <f>IFERROR(__xludf.DUMMYFUNCTION("""COMPUTED_VALUE"""),"新竹市私立磐石高級中學")</f>
        <v>新竹市私立磐石高級中學</v>
      </c>
      <c r="E646" s="9" t="str">
        <f>IFERROR(__xludf.DUMMYFUNCTION("""COMPUTED_VALUE"""),"普通科")</f>
        <v>普通科</v>
      </c>
      <c r="F646" s="9" t="str">
        <f>IFERROR(__xludf.DUMMYFUNCTION("""COMPUTED_VALUE"""),"二年級")</f>
        <v>二年級</v>
      </c>
      <c r="G646" s="10" t="str">
        <f>IFERROR(__xludf.DUMMYFUNCTION("""COMPUTED_VALUE"""),"■商品卡$200")</f>
        <v>■商品卡$200</v>
      </c>
      <c r="H646" s="9"/>
    </row>
    <row r="647">
      <c r="A647" s="5" t="s">
        <v>9</v>
      </c>
      <c r="B647" s="9" t="str">
        <f>IFERROR(__xludf.DUMMYFUNCTION("""COMPUTED_VALUE"""),"胡O翰")</f>
        <v>胡O翰</v>
      </c>
      <c r="C647" s="9" t="str">
        <f>IFERROR(__xludf.DUMMYFUNCTION("""COMPUTED_VALUE"""),"s21*****sphs.hc.edu.tw")</f>
        <v>s21*****sphs.hc.edu.tw</v>
      </c>
      <c r="D647" s="9" t="str">
        <f>IFERROR(__xludf.DUMMYFUNCTION("""COMPUTED_VALUE"""),"新竹市私立磐石高級中學")</f>
        <v>新竹市私立磐石高級中學</v>
      </c>
      <c r="E647" s="9" t="str">
        <f>IFERROR(__xludf.DUMMYFUNCTION("""COMPUTED_VALUE"""),"普通科")</f>
        <v>普通科</v>
      </c>
      <c r="F647" s="9" t="str">
        <f>IFERROR(__xludf.DUMMYFUNCTION("""COMPUTED_VALUE"""),"二年級")</f>
        <v>二年級</v>
      </c>
      <c r="G647" s="10" t="str">
        <f>IFERROR(__xludf.DUMMYFUNCTION("""COMPUTED_VALUE"""),"獎狀")</f>
        <v>獎狀</v>
      </c>
      <c r="H647" s="9"/>
    </row>
    <row r="648">
      <c r="A648" s="5" t="s">
        <v>9</v>
      </c>
      <c r="B648" s="9" t="str">
        <f>IFERROR(__xludf.DUMMYFUNCTION("""COMPUTED_VALUE"""),"紀O歆")</f>
        <v>紀O歆</v>
      </c>
      <c r="C648" s="9" t="str">
        <f>IFERROR(__xludf.DUMMYFUNCTION("""COMPUTED_VALUE"""),"s21*****sphs.hc.edu.tw")</f>
        <v>s21*****sphs.hc.edu.tw</v>
      </c>
      <c r="D648" s="9" t="str">
        <f>IFERROR(__xludf.DUMMYFUNCTION("""COMPUTED_VALUE"""),"新竹市私立磐石高級中學")</f>
        <v>新竹市私立磐石高級中學</v>
      </c>
      <c r="E648" s="9" t="str">
        <f>IFERROR(__xludf.DUMMYFUNCTION("""COMPUTED_VALUE"""),"普通科")</f>
        <v>普通科</v>
      </c>
      <c r="F648" s="9" t="str">
        <f>IFERROR(__xludf.DUMMYFUNCTION("""COMPUTED_VALUE"""),"二年級")</f>
        <v>二年級</v>
      </c>
      <c r="G648" s="10" t="str">
        <f>IFERROR(__xludf.DUMMYFUNCTION("""COMPUTED_VALUE"""),"■商品卡$200")</f>
        <v>■商品卡$200</v>
      </c>
      <c r="H648" s="9"/>
    </row>
    <row r="649">
      <c r="A649" s="5" t="s">
        <v>9</v>
      </c>
      <c r="B649" s="9" t="str">
        <f>IFERROR(__xludf.DUMMYFUNCTION("""COMPUTED_VALUE"""),"李O")</f>
        <v>李O</v>
      </c>
      <c r="C649" s="9" t="str">
        <f>IFERROR(__xludf.DUMMYFUNCTION("""COMPUTED_VALUE"""),"s21*****sphs.hc.edu.tw")</f>
        <v>s21*****sphs.hc.edu.tw</v>
      </c>
      <c r="D649" s="9" t="str">
        <f>IFERROR(__xludf.DUMMYFUNCTION("""COMPUTED_VALUE"""),"新竹市私立磐石高級中學")</f>
        <v>新竹市私立磐石高級中學</v>
      </c>
      <c r="E649" s="9" t="str">
        <f>IFERROR(__xludf.DUMMYFUNCTION("""COMPUTED_VALUE"""),"普通科")</f>
        <v>普通科</v>
      </c>
      <c r="F649" s="9" t="str">
        <f>IFERROR(__xludf.DUMMYFUNCTION("""COMPUTED_VALUE"""),"二年級")</f>
        <v>二年級</v>
      </c>
      <c r="G649" s="10" t="str">
        <f>IFERROR(__xludf.DUMMYFUNCTION("""COMPUTED_VALUE"""),"■商品卡$200")</f>
        <v>■商品卡$200</v>
      </c>
      <c r="H649" s="9"/>
    </row>
    <row r="650">
      <c r="A650" s="5" t="s">
        <v>9</v>
      </c>
      <c r="B650" s="9" t="str">
        <f>IFERROR(__xludf.DUMMYFUNCTION("""COMPUTED_VALUE"""),"劉O文")</f>
        <v>劉O文</v>
      </c>
      <c r="C650" s="9" t="str">
        <f>IFERROR(__xludf.DUMMYFUNCTION("""COMPUTED_VALUE"""),"s21*****sphs.hc.edu.tw")</f>
        <v>s21*****sphs.hc.edu.tw</v>
      </c>
      <c r="D650" s="9" t="str">
        <f>IFERROR(__xludf.DUMMYFUNCTION("""COMPUTED_VALUE"""),"新竹市私立磐石高級中學")</f>
        <v>新竹市私立磐石高級中學</v>
      </c>
      <c r="E650" s="9" t="str">
        <f>IFERROR(__xludf.DUMMYFUNCTION("""COMPUTED_VALUE"""),"普通科")</f>
        <v>普通科</v>
      </c>
      <c r="F650" s="9" t="str">
        <f>IFERROR(__xludf.DUMMYFUNCTION("""COMPUTED_VALUE"""),"二年級")</f>
        <v>二年級</v>
      </c>
      <c r="G650" s="10" t="str">
        <f>IFERROR(__xludf.DUMMYFUNCTION("""COMPUTED_VALUE"""),"獎狀")</f>
        <v>獎狀</v>
      </c>
      <c r="H650" s="9"/>
    </row>
    <row r="651">
      <c r="A651" s="5" t="s">
        <v>9</v>
      </c>
      <c r="B651" s="9" t="str">
        <f>IFERROR(__xludf.DUMMYFUNCTION("""COMPUTED_VALUE"""),"鍾O筑")</f>
        <v>鍾O筑</v>
      </c>
      <c r="C651" s="9" t="str">
        <f>IFERROR(__xludf.DUMMYFUNCTION("""COMPUTED_VALUE"""),"s21*****sphs.hc.edu.tw")</f>
        <v>s21*****sphs.hc.edu.tw</v>
      </c>
      <c r="D651" s="9" t="str">
        <f>IFERROR(__xludf.DUMMYFUNCTION("""COMPUTED_VALUE"""),"新竹市私立磐石高級中學")</f>
        <v>新竹市私立磐石高級中學</v>
      </c>
      <c r="E651" s="9" t="str">
        <f>IFERROR(__xludf.DUMMYFUNCTION("""COMPUTED_VALUE"""),"普通科")</f>
        <v>普通科</v>
      </c>
      <c r="F651" s="9" t="str">
        <f>IFERROR(__xludf.DUMMYFUNCTION("""COMPUTED_VALUE"""),"二年級")</f>
        <v>二年級</v>
      </c>
      <c r="G651" s="10" t="str">
        <f>IFERROR(__xludf.DUMMYFUNCTION("""COMPUTED_VALUE"""),"獎狀")</f>
        <v>獎狀</v>
      </c>
      <c r="H651" s="9"/>
    </row>
    <row r="652">
      <c r="A652" s="5" t="s">
        <v>9</v>
      </c>
      <c r="B652" s="9" t="str">
        <f>IFERROR(__xludf.DUMMYFUNCTION("""COMPUTED_VALUE"""),"蔡O庭")</f>
        <v>蔡O庭</v>
      </c>
      <c r="C652" s="9" t="str">
        <f>IFERROR(__xludf.DUMMYFUNCTION("""COMPUTED_VALUE"""),"s21*****sphs.hc.edu.tw")</f>
        <v>s21*****sphs.hc.edu.tw</v>
      </c>
      <c r="D652" s="9" t="str">
        <f>IFERROR(__xludf.DUMMYFUNCTION("""COMPUTED_VALUE"""),"新竹市私立磐石高級中學")</f>
        <v>新竹市私立磐石高級中學</v>
      </c>
      <c r="E652" s="9" t="str">
        <f>IFERROR(__xludf.DUMMYFUNCTION("""COMPUTED_VALUE"""),"普通科")</f>
        <v>普通科</v>
      </c>
      <c r="F652" s="9" t="str">
        <f>IFERROR(__xludf.DUMMYFUNCTION("""COMPUTED_VALUE"""),"二年級")</f>
        <v>二年級</v>
      </c>
      <c r="G652" s="10" t="str">
        <f>IFERROR(__xludf.DUMMYFUNCTION("""COMPUTED_VALUE"""),"獎狀")</f>
        <v>獎狀</v>
      </c>
      <c r="H652" s="9"/>
    </row>
    <row r="653">
      <c r="A653" s="5" t="s">
        <v>9</v>
      </c>
      <c r="B653" s="9" t="str">
        <f>IFERROR(__xludf.DUMMYFUNCTION("""COMPUTED_VALUE"""),"林O慧")</f>
        <v>林O慧</v>
      </c>
      <c r="C653" s="9" t="str">
        <f>IFERROR(__xludf.DUMMYFUNCTION("""COMPUTED_VALUE"""),"s21*****sphs.hc.edu.tw")</f>
        <v>s21*****sphs.hc.edu.tw</v>
      </c>
      <c r="D653" s="9" t="str">
        <f>IFERROR(__xludf.DUMMYFUNCTION("""COMPUTED_VALUE"""),"新竹市私立磐石高級中學")</f>
        <v>新竹市私立磐石高級中學</v>
      </c>
      <c r="E653" s="9" t="str">
        <f>IFERROR(__xludf.DUMMYFUNCTION("""COMPUTED_VALUE"""),"普通科")</f>
        <v>普通科</v>
      </c>
      <c r="F653" s="9" t="str">
        <f>IFERROR(__xludf.DUMMYFUNCTION("""COMPUTED_VALUE"""),"二年級")</f>
        <v>二年級</v>
      </c>
      <c r="G653" s="10" t="str">
        <f>IFERROR(__xludf.DUMMYFUNCTION("""COMPUTED_VALUE"""),"獎狀")</f>
        <v>獎狀</v>
      </c>
      <c r="H653" s="9"/>
    </row>
    <row r="654">
      <c r="A654" s="5" t="s">
        <v>9</v>
      </c>
      <c r="B654" s="9" t="str">
        <f>IFERROR(__xludf.DUMMYFUNCTION("""COMPUTED_VALUE"""),"彭O堤")</f>
        <v>彭O堤</v>
      </c>
      <c r="C654" s="9" t="str">
        <f>IFERROR(__xludf.DUMMYFUNCTION("""COMPUTED_VALUE"""),"s21*****sphs.hc.edu.tw")</f>
        <v>s21*****sphs.hc.edu.tw</v>
      </c>
      <c r="D654" s="9" t="str">
        <f>IFERROR(__xludf.DUMMYFUNCTION("""COMPUTED_VALUE"""),"新竹市私立磐石高級中學")</f>
        <v>新竹市私立磐石高級中學</v>
      </c>
      <c r="E654" s="9" t="str">
        <f>IFERROR(__xludf.DUMMYFUNCTION("""COMPUTED_VALUE"""),"普通科")</f>
        <v>普通科</v>
      </c>
      <c r="F654" s="9" t="str">
        <f>IFERROR(__xludf.DUMMYFUNCTION("""COMPUTED_VALUE"""),"二年級")</f>
        <v>二年級</v>
      </c>
      <c r="G654" s="10" t="str">
        <f>IFERROR(__xludf.DUMMYFUNCTION("""COMPUTED_VALUE"""),"獎狀")</f>
        <v>獎狀</v>
      </c>
      <c r="H654" s="9"/>
    </row>
    <row r="655">
      <c r="A655" s="5" t="s">
        <v>9</v>
      </c>
      <c r="B655" s="9" t="str">
        <f>IFERROR(__xludf.DUMMYFUNCTION("""COMPUTED_VALUE"""),"楊O葆")</f>
        <v>楊O葆</v>
      </c>
      <c r="C655" s="9" t="str">
        <f>IFERROR(__xludf.DUMMYFUNCTION("""COMPUTED_VALUE"""),"s21*****sphs.hc.edu.tw")</f>
        <v>s21*****sphs.hc.edu.tw</v>
      </c>
      <c r="D655" s="9" t="str">
        <f>IFERROR(__xludf.DUMMYFUNCTION("""COMPUTED_VALUE"""),"新竹市私立磐石高級中學")</f>
        <v>新竹市私立磐石高級中學</v>
      </c>
      <c r="E655" s="9" t="str">
        <f>IFERROR(__xludf.DUMMYFUNCTION("""COMPUTED_VALUE"""),"普通科")</f>
        <v>普通科</v>
      </c>
      <c r="F655" s="9" t="str">
        <f>IFERROR(__xludf.DUMMYFUNCTION("""COMPUTED_VALUE"""),"二年級")</f>
        <v>二年級</v>
      </c>
      <c r="G655" s="10" t="str">
        <f>IFERROR(__xludf.DUMMYFUNCTION("""COMPUTED_VALUE"""),"獎狀")</f>
        <v>獎狀</v>
      </c>
      <c r="H655" s="9"/>
    </row>
    <row r="656">
      <c r="A656" s="5" t="s">
        <v>9</v>
      </c>
      <c r="B656" s="9" t="str">
        <f>IFERROR(__xludf.DUMMYFUNCTION("""COMPUTED_VALUE"""),"楊O綺")</f>
        <v>楊O綺</v>
      </c>
      <c r="C656" s="9" t="str">
        <f>IFERROR(__xludf.DUMMYFUNCTION("""COMPUTED_VALUE"""),"s21*****sphs.hc.edu.tw")</f>
        <v>s21*****sphs.hc.edu.tw</v>
      </c>
      <c r="D656" s="9" t="str">
        <f>IFERROR(__xludf.DUMMYFUNCTION("""COMPUTED_VALUE"""),"新竹市私立磐石高級中學")</f>
        <v>新竹市私立磐石高級中學</v>
      </c>
      <c r="E656" s="9" t="str">
        <f>IFERROR(__xludf.DUMMYFUNCTION("""COMPUTED_VALUE"""),"普通科")</f>
        <v>普通科</v>
      </c>
      <c r="F656" s="9" t="str">
        <f>IFERROR(__xludf.DUMMYFUNCTION("""COMPUTED_VALUE"""),"二年級")</f>
        <v>二年級</v>
      </c>
      <c r="G656" s="10" t="str">
        <f>IFERROR(__xludf.DUMMYFUNCTION("""COMPUTED_VALUE"""),"獎狀")</f>
        <v>獎狀</v>
      </c>
      <c r="H656" s="9"/>
    </row>
    <row r="657">
      <c r="A657" s="5" t="s">
        <v>9</v>
      </c>
      <c r="B657" s="9" t="str">
        <f>IFERROR(__xludf.DUMMYFUNCTION("""COMPUTED_VALUE"""),"唐O喬")</f>
        <v>唐O喬</v>
      </c>
      <c r="C657" s="9" t="str">
        <f>IFERROR(__xludf.DUMMYFUNCTION("""COMPUTED_VALUE"""),"s21*****sphs.hc.edu.tw")</f>
        <v>s21*****sphs.hc.edu.tw</v>
      </c>
      <c r="D657" s="9" t="str">
        <f>IFERROR(__xludf.DUMMYFUNCTION("""COMPUTED_VALUE"""),"新竹市私立磐石高級中學")</f>
        <v>新竹市私立磐石高級中學</v>
      </c>
      <c r="E657" s="9" t="str">
        <f>IFERROR(__xludf.DUMMYFUNCTION("""COMPUTED_VALUE"""),"普通科")</f>
        <v>普通科</v>
      </c>
      <c r="F657" s="9" t="str">
        <f>IFERROR(__xludf.DUMMYFUNCTION("""COMPUTED_VALUE"""),"二年級")</f>
        <v>二年級</v>
      </c>
      <c r="G657" s="10" t="str">
        <f>IFERROR(__xludf.DUMMYFUNCTION("""COMPUTED_VALUE"""),"獎狀")</f>
        <v>獎狀</v>
      </c>
      <c r="H657" s="9"/>
    </row>
    <row r="658">
      <c r="A658" s="5" t="s">
        <v>9</v>
      </c>
      <c r="B658" s="9" t="str">
        <f>IFERROR(__xludf.DUMMYFUNCTION("""COMPUTED_VALUE"""),"陳O如")</f>
        <v>陳O如</v>
      </c>
      <c r="C658" s="9" t="str">
        <f>IFERROR(__xludf.DUMMYFUNCTION("""COMPUTED_VALUE"""),"s21*****sphs.hc.edu.tw")</f>
        <v>s21*****sphs.hc.edu.tw</v>
      </c>
      <c r="D658" s="9" t="str">
        <f>IFERROR(__xludf.DUMMYFUNCTION("""COMPUTED_VALUE"""),"新竹市私立磐石高級中學")</f>
        <v>新竹市私立磐石高級中學</v>
      </c>
      <c r="E658" s="9" t="str">
        <f>IFERROR(__xludf.DUMMYFUNCTION("""COMPUTED_VALUE"""),"普通科")</f>
        <v>普通科</v>
      </c>
      <c r="F658" s="9" t="str">
        <f>IFERROR(__xludf.DUMMYFUNCTION("""COMPUTED_VALUE"""),"二年級")</f>
        <v>二年級</v>
      </c>
      <c r="G658" s="10" t="str">
        <f>IFERROR(__xludf.DUMMYFUNCTION("""COMPUTED_VALUE"""),"獎狀")</f>
        <v>獎狀</v>
      </c>
      <c r="H658" s="9"/>
    </row>
    <row r="659">
      <c r="A659" s="5" t="s">
        <v>9</v>
      </c>
      <c r="B659" s="9" t="str">
        <f>IFERROR(__xludf.DUMMYFUNCTION("""COMPUTED_VALUE"""),"徐O優")</f>
        <v>徐O優</v>
      </c>
      <c r="C659" s="9" t="str">
        <f>IFERROR(__xludf.DUMMYFUNCTION("""COMPUTED_VALUE"""),"s21*****sphs.hc.edu.tw")</f>
        <v>s21*****sphs.hc.edu.tw</v>
      </c>
      <c r="D659" s="9" t="str">
        <f>IFERROR(__xludf.DUMMYFUNCTION("""COMPUTED_VALUE"""),"新竹市私立磐石高級中學")</f>
        <v>新竹市私立磐石高級中學</v>
      </c>
      <c r="E659" s="9" t="str">
        <f>IFERROR(__xludf.DUMMYFUNCTION("""COMPUTED_VALUE"""),"普通科")</f>
        <v>普通科</v>
      </c>
      <c r="F659" s="9" t="str">
        <f>IFERROR(__xludf.DUMMYFUNCTION("""COMPUTED_VALUE"""),"二年級")</f>
        <v>二年級</v>
      </c>
      <c r="G659" s="10" t="str">
        <f>IFERROR(__xludf.DUMMYFUNCTION("""COMPUTED_VALUE"""),"獎狀")</f>
        <v>獎狀</v>
      </c>
      <c r="H659" s="9"/>
    </row>
    <row r="660">
      <c r="A660" s="5" t="s">
        <v>9</v>
      </c>
      <c r="B660" s="9" t="str">
        <f>IFERROR(__xludf.DUMMYFUNCTION("""COMPUTED_VALUE"""),"謝O宏")</f>
        <v>謝O宏</v>
      </c>
      <c r="C660" s="9" t="str">
        <f>IFERROR(__xludf.DUMMYFUNCTION("""COMPUTED_VALUE"""),"s21*****sphs.hc.edu.tw")</f>
        <v>s21*****sphs.hc.edu.tw</v>
      </c>
      <c r="D660" s="9" t="str">
        <f>IFERROR(__xludf.DUMMYFUNCTION("""COMPUTED_VALUE"""),"新竹市私立磐石高級中學")</f>
        <v>新竹市私立磐石高級中學</v>
      </c>
      <c r="E660" s="9" t="str">
        <f>IFERROR(__xludf.DUMMYFUNCTION("""COMPUTED_VALUE"""),"普通科")</f>
        <v>普通科</v>
      </c>
      <c r="F660" s="9" t="str">
        <f>IFERROR(__xludf.DUMMYFUNCTION("""COMPUTED_VALUE"""),"二年級")</f>
        <v>二年級</v>
      </c>
      <c r="G660" s="10" t="str">
        <f>IFERROR(__xludf.DUMMYFUNCTION("""COMPUTED_VALUE"""),"■商品卡$200")</f>
        <v>■商品卡$200</v>
      </c>
      <c r="H660" s="9"/>
    </row>
    <row r="661">
      <c r="A661" s="5" t="s">
        <v>9</v>
      </c>
      <c r="B661" s="9" t="str">
        <f>IFERROR(__xludf.DUMMYFUNCTION("""COMPUTED_VALUE"""),"曾O柔")</f>
        <v>曾O柔</v>
      </c>
      <c r="C661" s="9" t="str">
        <f>IFERROR(__xludf.DUMMYFUNCTION("""COMPUTED_VALUE"""),"s21*****sphs.hc.edu.tw")</f>
        <v>s21*****sphs.hc.edu.tw</v>
      </c>
      <c r="D661" s="9" t="str">
        <f>IFERROR(__xludf.DUMMYFUNCTION("""COMPUTED_VALUE"""),"新竹市私立磐石高級中學")</f>
        <v>新竹市私立磐石高級中學</v>
      </c>
      <c r="E661" s="9" t="str">
        <f>IFERROR(__xludf.DUMMYFUNCTION("""COMPUTED_VALUE"""),"普通科")</f>
        <v>普通科</v>
      </c>
      <c r="F661" s="9" t="str">
        <f>IFERROR(__xludf.DUMMYFUNCTION("""COMPUTED_VALUE"""),"二年級")</f>
        <v>二年級</v>
      </c>
      <c r="G661" s="10" t="str">
        <f>IFERROR(__xludf.DUMMYFUNCTION("""COMPUTED_VALUE"""),"獎狀")</f>
        <v>獎狀</v>
      </c>
      <c r="H661" s="9"/>
    </row>
    <row r="662">
      <c r="A662" s="5" t="s">
        <v>9</v>
      </c>
      <c r="B662" s="9" t="str">
        <f>IFERROR(__xludf.DUMMYFUNCTION("""COMPUTED_VALUE"""),"廖O皓")</f>
        <v>廖O皓</v>
      </c>
      <c r="C662" s="9" t="str">
        <f>IFERROR(__xludf.DUMMYFUNCTION("""COMPUTED_VALUE"""),"s21*****sphs.hc.edu.tw")</f>
        <v>s21*****sphs.hc.edu.tw</v>
      </c>
      <c r="D662" s="9" t="str">
        <f>IFERROR(__xludf.DUMMYFUNCTION("""COMPUTED_VALUE"""),"新竹市私立磐石高級中學")</f>
        <v>新竹市私立磐石高級中學</v>
      </c>
      <c r="E662" s="9" t="str">
        <f>IFERROR(__xludf.DUMMYFUNCTION("""COMPUTED_VALUE"""),"普通科")</f>
        <v>普通科</v>
      </c>
      <c r="F662" s="9" t="str">
        <f>IFERROR(__xludf.DUMMYFUNCTION("""COMPUTED_VALUE"""),"二年級")</f>
        <v>二年級</v>
      </c>
      <c r="G662" s="10" t="str">
        <f>IFERROR(__xludf.DUMMYFUNCTION("""COMPUTED_VALUE"""),"獎狀")</f>
        <v>獎狀</v>
      </c>
      <c r="H662" s="9"/>
    </row>
    <row r="663">
      <c r="A663" s="5" t="s">
        <v>9</v>
      </c>
      <c r="B663" s="9" t="str">
        <f>IFERROR(__xludf.DUMMYFUNCTION("""COMPUTED_VALUE"""),"羅O芸")</f>
        <v>羅O芸</v>
      </c>
      <c r="C663" s="9" t="str">
        <f>IFERROR(__xludf.DUMMYFUNCTION("""COMPUTED_VALUE"""),"s21*****sphs.hc.edu.tw")</f>
        <v>s21*****sphs.hc.edu.tw</v>
      </c>
      <c r="D663" s="9" t="str">
        <f>IFERROR(__xludf.DUMMYFUNCTION("""COMPUTED_VALUE"""),"新竹市私立磐石高級中學")</f>
        <v>新竹市私立磐石高級中學</v>
      </c>
      <c r="E663" s="9" t="str">
        <f>IFERROR(__xludf.DUMMYFUNCTION("""COMPUTED_VALUE"""),"普通科")</f>
        <v>普通科</v>
      </c>
      <c r="F663" s="9" t="str">
        <f>IFERROR(__xludf.DUMMYFUNCTION("""COMPUTED_VALUE"""),"二年級")</f>
        <v>二年級</v>
      </c>
      <c r="G663" s="10" t="str">
        <f>IFERROR(__xludf.DUMMYFUNCTION("""COMPUTED_VALUE"""),"○商品卡$500")</f>
        <v>○商品卡$500</v>
      </c>
      <c r="H663" s="9"/>
    </row>
    <row r="664">
      <c r="A664" s="5" t="s">
        <v>9</v>
      </c>
      <c r="B664" s="9" t="str">
        <f>IFERROR(__xludf.DUMMYFUNCTION("""COMPUTED_VALUE"""),"徐O茵")</f>
        <v>徐O茵</v>
      </c>
      <c r="C664" s="9" t="str">
        <f>IFERROR(__xludf.DUMMYFUNCTION("""COMPUTED_VALUE"""),"s21*****sphs.hc.edu.tw")</f>
        <v>s21*****sphs.hc.edu.tw</v>
      </c>
      <c r="D664" s="9" t="str">
        <f>IFERROR(__xludf.DUMMYFUNCTION("""COMPUTED_VALUE"""),"新竹市私立磐石高級中學")</f>
        <v>新竹市私立磐石高級中學</v>
      </c>
      <c r="E664" s="9" t="str">
        <f>IFERROR(__xludf.DUMMYFUNCTION("""COMPUTED_VALUE"""),"普通科")</f>
        <v>普通科</v>
      </c>
      <c r="F664" s="9" t="str">
        <f>IFERROR(__xludf.DUMMYFUNCTION("""COMPUTED_VALUE"""),"二年級")</f>
        <v>二年級</v>
      </c>
      <c r="G664" s="10" t="str">
        <f>IFERROR(__xludf.DUMMYFUNCTION("""COMPUTED_VALUE"""),"獎狀")</f>
        <v>獎狀</v>
      </c>
      <c r="H664" s="9"/>
    </row>
    <row r="665">
      <c r="A665" s="5" t="s">
        <v>9</v>
      </c>
      <c r="B665" s="9" t="str">
        <f>IFERROR(__xludf.DUMMYFUNCTION("""COMPUTED_VALUE"""),"許O昕")</f>
        <v>許O昕</v>
      </c>
      <c r="C665" s="9" t="str">
        <f>IFERROR(__xludf.DUMMYFUNCTION("""COMPUTED_VALUE"""),"s21*****sphs.hc.edu.tw")</f>
        <v>s21*****sphs.hc.edu.tw</v>
      </c>
      <c r="D665" s="9" t="str">
        <f>IFERROR(__xludf.DUMMYFUNCTION("""COMPUTED_VALUE"""),"新竹市私立磐石高級中學")</f>
        <v>新竹市私立磐石高級中學</v>
      </c>
      <c r="E665" s="9" t="str">
        <f>IFERROR(__xludf.DUMMYFUNCTION("""COMPUTED_VALUE"""),"普通科")</f>
        <v>普通科</v>
      </c>
      <c r="F665" s="9" t="str">
        <f>IFERROR(__xludf.DUMMYFUNCTION("""COMPUTED_VALUE"""),"二年級")</f>
        <v>二年級</v>
      </c>
      <c r="G665" s="10" t="str">
        <f>IFERROR(__xludf.DUMMYFUNCTION("""COMPUTED_VALUE"""),"獎狀")</f>
        <v>獎狀</v>
      </c>
      <c r="H665" s="9"/>
    </row>
    <row r="666">
      <c r="A666" s="5" t="s">
        <v>9</v>
      </c>
      <c r="B666" s="9" t="str">
        <f>IFERROR(__xludf.DUMMYFUNCTION("""COMPUTED_VALUE"""),"鄭O玲")</f>
        <v>鄭O玲</v>
      </c>
      <c r="C666" s="9" t="str">
        <f>IFERROR(__xludf.DUMMYFUNCTION("""COMPUTED_VALUE"""),"s21*****sphs.hc.edu.tw")</f>
        <v>s21*****sphs.hc.edu.tw</v>
      </c>
      <c r="D666" s="9" t="str">
        <f>IFERROR(__xludf.DUMMYFUNCTION("""COMPUTED_VALUE"""),"新竹市私立磐石高級中學")</f>
        <v>新竹市私立磐石高級中學</v>
      </c>
      <c r="E666" s="9" t="str">
        <f>IFERROR(__xludf.DUMMYFUNCTION("""COMPUTED_VALUE"""),"普通科")</f>
        <v>普通科</v>
      </c>
      <c r="F666" s="9" t="str">
        <f>IFERROR(__xludf.DUMMYFUNCTION("""COMPUTED_VALUE"""),"二年級")</f>
        <v>二年級</v>
      </c>
      <c r="G666" s="10" t="str">
        <f>IFERROR(__xludf.DUMMYFUNCTION("""COMPUTED_VALUE"""),"獎狀")</f>
        <v>獎狀</v>
      </c>
      <c r="H666" s="9"/>
    </row>
    <row r="667">
      <c r="A667" s="5" t="s">
        <v>9</v>
      </c>
      <c r="B667" s="9" t="str">
        <f>IFERROR(__xludf.DUMMYFUNCTION("""COMPUTED_VALUE"""),"潘O里")</f>
        <v>潘O里</v>
      </c>
      <c r="C667" s="9" t="str">
        <f>IFERROR(__xludf.DUMMYFUNCTION("""COMPUTED_VALUE"""),"s21*****sphs.hc.edu.tw")</f>
        <v>s21*****sphs.hc.edu.tw</v>
      </c>
      <c r="D667" s="9" t="str">
        <f>IFERROR(__xludf.DUMMYFUNCTION("""COMPUTED_VALUE"""),"新竹市私立磐石高級中學")</f>
        <v>新竹市私立磐石高級中學</v>
      </c>
      <c r="E667" s="9" t="str">
        <f>IFERROR(__xludf.DUMMYFUNCTION("""COMPUTED_VALUE"""),"普通科")</f>
        <v>普通科</v>
      </c>
      <c r="F667" s="9" t="str">
        <f>IFERROR(__xludf.DUMMYFUNCTION("""COMPUTED_VALUE"""),"二年級")</f>
        <v>二年級</v>
      </c>
      <c r="G667" s="10" t="str">
        <f>IFERROR(__xludf.DUMMYFUNCTION("""COMPUTED_VALUE"""),"獎狀")</f>
        <v>獎狀</v>
      </c>
      <c r="H667" s="9"/>
    </row>
    <row r="668">
      <c r="A668" s="5" t="s">
        <v>9</v>
      </c>
      <c r="B668" s="9" t="str">
        <f>IFERROR(__xludf.DUMMYFUNCTION("""COMPUTED_VALUE"""),"林O彤")</f>
        <v>林O彤</v>
      </c>
      <c r="C668" s="9" t="str">
        <f>IFERROR(__xludf.DUMMYFUNCTION("""COMPUTED_VALUE"""),"s21*****sphs.hc.edu.tw")</f>
        <v>s21*****sphs.hc.edu.tw</v>
      </c>
      <c r="D668" s="9" t="str">
        <f>IFERROR(__xludf.DUMMYFUNCTION("""COMPUTED_VALUE"""),"新竹市私立磐石高級中學")</f>
        <v>新竹市私立磐石高級中學</v>
      </c>
      <c r="E668" s="9" t="str">
        <f>IFERROR(__xludf.DUMMYFUNCTION("""COMPUTED_VALUE"""),"普通科")</f>
        <v>普通科</v>
      </c>
      <c r="F668" s="9" t="str">
        <f>IFERROR(__xludf.DUMMYFUNCTION("""COMPUTED_VALUE"""),"二年級")</f>
        <v>二年級</v>
      </c>
      <c r="G668" s="10" t="str">
        <f>IFERROR(__xludf.DUMMYFUNCTION("""COMPUTED_VALUE"""),"獎狀")</f>
        <v>獎狀</v>
      </c>
      <c r="H668" s="9"/>
    </row>
    <row r="669">
      <c r="A669" s="5" t="s">
        <v>9</v>
      </c>
      <c r="B669" s="9" t="str">
        <f>IFERROR(__xludf.DUMMYFUNCTION("""COMPUTED_VALUE"""),"鐘O瑄")</f>
        <v>鐘O瑄</v>
      </c>
      <c r="C669" s="9" t="str">
        <f>IFERROR(__xludf.DUMMYFUNCTION("""COMPUTED_VALUE"""),"s21*****sphs.hc.edu.tw")</f>
        <v>s21*****sphs.hc.edu.tw</v>
      </c>
      <c r="D669" s="9" t="str">
        <f>IFERROR(__xludf.DUMMYFUNCTION("""COMPUTED_VALUE"""),"新竹市私立磐石高級中學")</f>
        <v>新竹市私立磐石高級中學</v>
      </c>
      <c r="E669" s="9" t="str">
        <f>IFERROR(__xludf.DUMMYFUNCTION("""COMPUTED_VALUE"""),"普通科")</f>
        <v>普通科</v>
      </c>
      <c r="F669" s="9" t="str">
        <f>IFERROR(__xludf.DUMMYFUNCTION("""COMPUTED_VALUE"""),"二年級")</f>
        <v>二年級</v>
      </c>
      <c r="G669" s="10" t="str">
        <f>IFERROR(__xludf.DUMMYFUNCTION("""COMPUTED_VALUE"""),"★商品卡$1000")</f>
        <v>★商品卡$1000</v>
      </c>
      <c r="H669" s="9"/>
    </row>
    <row r="670">
      <c r="A670" s="5" t="s">
        <v>9</v>
      </c>
      <c r="B670" s="9" t="str">
        <f>IFERROR(__xludf.DUMMYFUNCTION("""COMPUTED_VALUE"""),"郭O宸")</f>
        <v>郭O宸</v>
      </c>
      <c r="C670" s="9" t="str">
        <f>IFERROR(__xludf.DUMMYFUNCTION("""COMPUTED_VALUE"""),"s21*****sphs.hc.edu.tw")</f>
        <v>s21*****sphs.hc.edu.tw</v>
      </c>
      <c r="D670" s="9" t="str">
        <f>IFERROR(__xludf.DUMMYFUNCTION("""COMPUTED_VALUE"""),"新竹市私立磐石高級中學")</f>
        <v>新竹市私立磐石高級中學</v>
      </c>
      <c r="E670" s="9" t="str">
        <f>IFERROR(__xludf.DUMMYFUNCTION("""COMPUTED_VALUE"""),"普通科")</f>
        <v>普通科</v>
      </c>
      <c r="F670" s="9" t="str">
        <f>IFERROR(__xludf.DUMMYFUNCTION("""COMPUTED_VALUE"""),"二年級")</f>
        <v>二年級</v>
      </c>
      <c r="G670" s="10" t="str">
        <f>IFERROR(__xludf.DUMMYFUNCTION("""COMPUTED_VALUE"""),"■商品卡$200")</f>
        <v>■商品卡$200</v>
      </c>
      <c r="H670" s="9"/>
    </row>
    <row r="671">
      <c r="A671" s="5" t="s">
        <v>9</v>
      </c>
      <c r="B671" s="9" t="str">
        <f>IFERROR(__xludf.DUMMYFUNCTION("""COMPUTED_VALUE"""),"彭O涵")</f>
        <v>彭O涵</v>
      </c>
      <c r="C671" s="9" t="str">
        <f>IFERROR(__xludf.DUMMYFUNCTION("""COMPUTED_VALUE"""),"s21*****sphs.hc.edu.tw")</f>
        <v>s21*****sphs.hc.edu.tw</v>
      </c>
      <c r="D671" s="9" t="str">
        <f>IFERROR(__xludf.DUMMYFUNCTION("""COMPUTED_VALUE"""),"新竹市私立磐石高級中學")</f>
        <v>新竹市私立磐石高級中學</v>
      </c>
      <c r="E671" s="9" t="str">
        <f>IFERROR(__xludf.DUMMYFUNCTION("""COMPUTED_VALUE"""),"普通科")</f>
        <v>普通科</v>
      </c>
      <c r="F671" s="9" t="str">
        <f>IFERROR(__xludf.DUMMYFUNCTION("""COMPUTED_VALUE"""),"二年級")</f>
        <v>二年級</v>
      </c>
      <c r="G671" s="10" t="str">
        <f>IFERROR(__xludf.DUMMYFUNCTION("""COMPUTED_VALUE"""),"獎狀")</f>
        <v>獎狀</v>
      </c>
      <c r="H671" s="9"/>
    </row>
    <row r="672">
      <c r="A672" s="5" t="s">
        <v>9</v>
      </c>
      <c r="B672" s="9" t="str">
        <f>IFERROR(__xludf.DUMMYFUNCTION("""COMPUTED_VALUE"""),"莊O涵")</f>
        <v>莊O涵</v>
      </c>
      <c r="C672" s="9" t="str">
        <f>IFERROR(__xludf.DUMMYFUNCTION("""COMPUTED_VALUE"""),"s21*****sphs.hc.edu.tw")</f>
        <v>s21*****sphs.hc.edu.tw</v>
      </c>
      <c r="D672" s="9" t="str">
        <f>IFERROR(__xludf.DUMMYFUNCTION("""COMPUTED_VALUE"""),"新竹市私立磐石高級中學")</f>
        <v>新竹市私立磐石高級中學</v>
      </c>
      <c r="E672" s="9" t="str">
        <f>IFERROR(__xludf.DUMMYFUNCTION("""COMPUTED_VALUE"""),"普通科")</f>
        <v>普通科</v>
      </c>
      <c r="F672" s="9" t="str">
        <f>IFERROR(__xludf.DUMMYFUNCTION("""COMPUTED_VALUE"""),"二年級")</f>
        <v>二年級</v>
      </c>
      <c r="G672" s="10" t="str">
        <f>IFERROR(__xludf.DUMMYFUNCTION("""COMPUTED_VALUE"""),"○商品卡$500")</f>
        <v>○商品卡$500</v>
      </c>
      <c r="H672" s="9"/>
    </row>
    <row r="673">
      <c r="A673" s="5" t="s">
        <v>9</v>
      </c>
      <c r="B673" s="9" t="str">
        <f>IFERROR(__xludf.DUMMYFUNCTION("""COMPUTED_VALUE"""),"車O銘")</f>
        <v>車O銘</v>
      </c>
      <c r="C673" s="9" t="str">
        <f>IFERROR(__xludf.DUMMYFUNCTION("""COMPUTED_VALUE"""),"s21*****sphs.hc.edu.tw")</f>
        <v>s21*****sphs.hc.edu.tw</v>
      </c>
      <c r="D673" s="9" t="str">
        <f>IFERROR(__xludf.DUMMYFUNCTION("""COMPUTED_VALUE"""),"新竹市私立磐石高級中學")</f>
        <v>新竹市私立磐石高級中學</v>
      </c>
      <c r="E673" s="9" t="str">
        <f>IFERROR(__xludf.DUMMYFUNCTION("""COMPUTED_VALUE"""),"普通科")</f>
        <v>普通科</v>
      </c>
      <c r="F673" s="9" t="str">
        <f>IFERROR(__xludf.DUMMYFUNCTION("""COMPUTED_VALUE"""),"二年級")</f>
        <v>二年級</v>
      </c>
      <c r="G673" s="10" t="str">
        <f>IFERROR(__xludf.DUMMYFUNCTION("""COMPUTED_VALUE"""),"獎狀")</f>
        <v>獎狀</v>
      </c>
      <c r="H673" s="9"/>
    </row>
    <row r="674">
      <c r="A674" s="5" t="s">
        <v>9</v>
      </c>
      <c r="B674" s="9" t="str">
        <f>IFERROR(__xludf.DUMMYFUNCTION("""COMPUTED_VALUE"""),"邱O璇")</f>
        <v>邱O璇</v>
      </c>
      <c r="C674" s="9" t="str">
        <f>IFERROR(__xludf.DUMMYFUNCTION("""COMPUTED_VALUE"""),"s21*****sphs.hc.edu.tw")</f>
        <v>s21*****sphs.hc.edu.tw</v>
      </c>
      <c r="D674" s="9" t="str">
        <f>IFERROR(__xludf.DUMMYFUNCTION("""COMPUTED_VALUE"""),"新竹市私立磐石高級中學")</f>
        <v>新竹市私立磐石高級中學</v>
      </c>
      <c r="E674" s="9" t="str">
        <f>IFERROR(__xludf.DUMMYFUNCTION("""COMPUTED_VALUE"""),"普通科")</f>
        <v>普通科</v>
      </c>
      <c r="F674" s="9" t="str">
        <f>IFERROR(__xludf.DUMMYFUNCTION("""COMPUTED_VALUE"""),"二年級")</f>
        <v>二年級</v>
      </c>
      <c r="G674" s="10" t="str">
        <f>IFERROR(__xludf.DUMMYFUNCTION("""COMPUTED_VALUE"""),"獎狀")</f>
        <v>獎狀</v>
      </c>
      <c r="H674" s="9"/>
    </row>
    <row r="675">
      <c r="A675" s="5" t="s">
        <v>9</v>
      </c>
      <c r="B675" s="9" t="str">
        <f>IFERROR(__xludf.DUMMYFUNCTION("""COMPUTED_VALUE"""),"劉O均")</f>
        <v>劉O均</v>
      </c>
      <c r="C675" s="9" t="str">
        <f>IFERROR(__xludf.DUMMYFUNCTION("""COMPUTED_VALUE"""),"s21*****sphs.hc.edu.tw")</f>
        <v>s21*****sphs.hc.edu.tw</v>
      </c>
      <c r="D675" s="9" t="str">
        <f>IFERROR(__xludf.DUMMYFUNCTION("""COMPUTED_VALUE"""),"新竹市私立磐石高級中學")</f>
        <v>新竹市私立磐石高級中學</v>
      </c>
      <c r="E675" s="9" t="str">
        <f>IFERROR(__xludf.DUMMYFUNCTION("""COMPUTED_VALUE"""),"普通科")</f>
        <v>普通科</v>
      </c>
      <c r="F675" s="9" t="str">
        <f>IFERROR(__xludf.DUMMYFUNCTION("""COMPUTED_VALUE"""),"二年級")</f>
        <v>二年級</v>
      </c>
      <c r="G675" s="10" t="str">
        <f>IFERROR(__xludf.DUMMYFUNCTION("""COMPUTED_VALUE"""),"獎狀")</f>
        <v>獎狀</v>
      </c>
      <c r="H675" s="9"/>
    </row>
    <row r="676">
      <c r="A676" s="5" t="s">
        <v>9</v>
      </c>
      <c r="B676" s="9" t="str">
        <f>IFERROR(__xludf.DUMMYFUNCTION("""COMPUTED_VALUE"""),"邱O義")</f>
        <v>邱O義</v>
      </c>
      <c r="C676" s="9" t="str">
        <f>IFERROR(__xludf.DUMMYFUNCTION("""COMPUTED_VALUE"""),"s21*****sphs.hc.edu.tw")</f>
        <v>s21*****sphs.hc.edu.tw</v>
      </c>
      <c r="D676" s="9" t="str">
        <f>IFERROR(__xludf.DUMMYFUNCTION("""COMPUTED_VALUE"""),"新竹市私立磐石高級中學")</f>
        <v>新竹市私立磐石高級中學</v>
      </c>
      <c r="E676" s="9" t="str">
        <f>IFERROR(__xludf.DUMMYFUNCTION("""COMPUTED_VALUE"""),"普通科")</f>
        <v>普通科</v>
      </c>
      <c r="F676" s="9" t="str">
        <f>IFERROR(__xludf.DUMMYFUNCTION("""COMPUTED_VALUE"""),"二年級")</f>
        <v>二年級</v>
      </c>
      <c r="G676" s="10" t="str">
        <f>IFERROR(__xludf.DUMMYFUNCTION("""COMPUTED_VALUE"""),"獎狀")</f>
        <v>獎狀</v>
      </c>
      <c r="H676" s="9"/>
    </row>
    <row r="677">
      <c r="A677" s="5" t="s">
        <v>9</v>
      </c>
      <c r="B677" s="9" t="str">
        <f>IFERROR(__xludf.DUMMYFUNCTION("""COMPUTED_VALUE"""),"蕭O蓁")</f>
        <v>蕭O蓁</v>
      </c>
      <c r="C677" s="9" t="str">
        <f>IFERROR(__xludf.DUMMYFUNCTION("""COMPUTED_VALUE"""),"s21*****sphs.hc.edu.tw")</f>
        <v>s21*****sphs.hc.edu.tw</v>
      </c>
      <c r="D677" s="9" t="str">
        <f>IFERROR(__xludf.DUMMYFUNCTION("""COMPUTED_VALUE"""),"新竹市私立磐石高級中學")</f>
        <v>新竹市私立磐石高級中學</v>
      </c>
      <c r="E677" s="9" t="str">
        <f>IFERROR(__xludf.DUMMYFUNCTION("""COMPUTED_VALUE"""),"普通科")</f>
        <v>普通科</v>
      </c>
      <c r="F677" s="9" t="str">
        <f>IFERROR(__xludf.DUMMYFUNCTION("""COMPUTED_VALUE"""),"二年級")</f>
        <v>二年級</v>
      </c>
      <c r="G677" s="10" t="str">
        <f>IFERROR(__xludf.DUMMYFUNCTION("""COMPUTED_VALUE"""),"○商品卡$500")</f>
        <v>○商品卡$500</v>
      </c>
      <c r="H677" s="9"/>
    </row>
    <row r="678">
      <c r="A678" s="5" t="s">
        <v>9</v>
      </c>
      <c r="B678" s="9" t="str">
        <f>IFERROR(__xludf.DUMMYFUNCTION("""COMPUTED_VALUE"""),"呂O翰")</f>
        <v>呂O翰</v>
      </c>
      <c r="C678" s="9" t="str">
        <f>IFERROR(__xludf.DUMMYFUNCTION("""COMPUTED_VALUE"""),"s21*****sphs.hc.edu.tw")</f>
        <v>s21*****sphs.hc.edu.tw</v>
      </c>
      <c r="D678" s="9" t="str">
        <f>IFERROR(__xludf.DUMMYFUNCTION("""COMPUTED_VALUE"""),"新竹市私立磐石高級中學")</f>
        <v>新竹市私立磐石高級中學</v>
      </c>
      <c r="E678" s="9" t="str">
        <f>IFERROR(__xludf.DUMMYFUNCTION("""COMPUTED_VALUE"""),"普通科")</f>
        <v>普通科</v>
      </c>
      <c r="F678" s="9" t="str">
        <f>IFERROR(__xludf.DUMMYFUNCTION("""COMPUTED_VALUE"""),"二年級")</f>
        <v>二年級</v>
      </c>
      <c r="G678" s="10" t="str">
        <f>IFERROR(__xludf.DUMMYFUNCTION("""COMPUTED_VALUE"""),"○商品卡$500")</f>
        <v>○商品卡$500</v>
      </c>
      <c r="H678" s="9"/>
    </row>
    <row r="679">
      <c r="A679" s="5" t="s">
        <v>9</v>
      </c>
      <c r="B679" s="9" t="str">
        <f>IFERROR(__xludf.DUMMYFUNCTION("""COMPUTED_VALUE"""),"陳O微")</f>
        <v>陳O微</v>
      </c>
      <c r="C679" s="9" t="str">
        <f>IFERROR(__xludf.DUMMYFUNCTION("""COMPUTED_VALUE"""),"s21*****sphs.hc.edu.tw")</f>
        <v>s21*****sphs.hc.edu.tw</v>
      </c>
      <c r="D679" s="9" t="str">
        <f>IFERROR(__xludf.DUMMYFUNCTION("""COMPUTED_VALUE"""),"新竹市私立磐石高級中學")</f>
        <v>新竹市私立磐石高級中學</v>
      </c>
      <c r="E679" s="9" t="str">
        <f>IFERROR(__xludf.DUMMYFUNCTION("""COMPUTED_VALUE"""),"普通科")</f>
        <v>普通科</v>
      </c>
      <c r="F679" s="9" t="str">
        <f>IFERROR(__xludf.DUMMYFUNCTION("""COMPUTED_VALUE"""),"二年級")</f>
        <v>二年級</v>
      </c>
      <c r="G679" s="10" t="str">
        <f>IFERROR(__xludf.DUMMYFUNCTION("""COMPUTED_VALUE"""),"獎狀")</f>
        <v>獎狀</v>
      </c>
      <c r="H679" s="9"/>
    </row>
    <row r="680">
      <c r="A680" s="5" t="s">
        <v>9</v>
      </c>
      <c r="B680" s="9" t="str">
        <f>IFERROR(__xludf.DUMMYFUNCTION("""COMPUTED_VALUE"""),"陳O喬")</f>
        <v>陳O喬</v>
      </c>
      <c r="C680" s="9" t="str">
        <f>IFERROR(__xludf.DUMMYFUNCTION("""COMPUTED_VALUE"""),"s21*****sphs.hc.edu.tw")</f>
        <v>s21*****sphs.hc.edu.tw</v>
      </c>
      <c r="D680" s="9" t="str">
        <f>IFERROR(__xludf.DUMMYFUNCTION("""COMPUTED_VALUE"""),"新竹市私立磐石高級中學")</f>
        <v>新竹市私立磐石高級中學</v>
      </c>
      <c r="E680" s="9" t="str">
        <f>IFERROR(__xludf.DUMMYFUNCTION("""COMPUTED_VALUE"""),"普通科")</f>
        <v>普通科</v>
      </c>
      <c r="F680" s="9" t="str">
        <f>IFERROR(__xludf.DUMMYFUNCTION("""COMPUTED_VALUE"""),"二年級")</f>
        <v>二年級</v>
      </c>
      <c r="G680" s="10" t="str">
        <f>IFERROR(__xludf.DUMMYFUNCTION("""COMPUTED_VALUE"""),"獎狀")</f>
        <v>獎狀</v>
      </c>
      <c r="H680" s="9"/>
    </row>
    <row r="681">
      <c r="A681" s="5" t="s">
        <v>9</v>
      </c>
      <c r="B681" s="9" t="str">
        <f>IFERROR(__xludf.DUMMYFUNCTION("""COMPUTED_VALUE"""),"曾O鈞")</f>
        <v>曾O鈞</v>
      </c>
      <c r="C681" s="9" t="str">
        <f>IFERROR(__xludf.DUMMYFUNCTION("""COMPUTED_VALUE"""),"s21*****sphs.hc.edu.tw")</f>
        <v>s21*****sphs.hc.edu.tw</v>
      </c>
      <c r="D681" s="9" t="str">
        <f>IFERROR(__xludf.DUMMYFUNCTION("""COMPUTED_VALUE"""),"新竹市私立磐石高級中學")</f>
        <v>新竹市私立磐石高級中學</v>
      </c>
      <c r="E681" s="9" t="str">
        <f>IFERROR(__xludf.DUMMYFUNCTION("""COMPUTED_VALUE"""),"普通科")</f>
        <v>普通科</v>
      </c>
      <c r="F681" s="9" t="str">
        <f>IFERROR(__xludf.DUMMYFUNCTION("""COMPUTED_VALUE"""),"二年級")</f>
        <v>二年級</v>
      </c>
      <c r="G681" s="10" t="str">
        <f>IFERROR(__xludf.DUMMYFUNCTION("""COMPUTED_VALUE"""),"獎狀")</f>
        <v>獎狀</v>
      </c>
      <c r="H681" s="9"/>
    </row>
    <row r="682">
      <c r="A682" s="5" t="s">
        <v>9</v>
      </c>
      <c r="B682" s="9" t="str">
        <f>IFERROR(__xludf.DUMMYFUNCTION("""COMPUTED_VALUE"""),"方O云")</f>
        <v>方O云</v>
      </c>
      <c r="C682" s="9" t="str">
        <f>IFERROR(__xludf.DUMMYFUNCTION("""COMPUTED_VALUE"""),"s21*****sphs.hc.edu.tw")</f>
        <v>s21*****sphs.hc.edu.tw</v>
      </c>
      <c r="D682" s="9" t="str">
        <f>IFERROR(__xludf.DUMMYFUNCTION("""COMPUTED_VALUE"""),"新竹市私立磐石高級中學")</f>
        <v>新竹市私立磐石高級中學</v>
      </c>
      <c r="E682" s="9" t="str">
        <f>IFERROR(__xludf.DUMMYFUNCTION("""COMPUTED_VALUE"""),"普通科")</f>
        <v>普通科</v>
      </c>
      <c r="F682" s="9" t="str">
        <f>IFERROR(__xludf.DUMMYFUNCTION("""COMPUTED_VALUE"""),"二年級")</f>
        <v>二年級</v>
      </c>
      <c r="G682" s="10" t="str">
        <f>IFERROR(__xludf.DUMMYFUNCTION("""COMPUTED_VALUE"""),"■商品卡$200")</f>
        <v>■商品卡$200</v>
      </c>
      <c r="H682" s="9"/>
    </row>
    <row r="683">
      <c r="A683" s="5" t="s">
        <v>9</v>
      </c>
      <c r="B683" s="9" t="str">
        <f>IFERROR(__xludf.DUMMYFUNCTION("""COMPUTED_VALUE"""),"張O慈")</f>
        <v>張O慈</v>
      </c>
      <c r="C683" s="9" t="str">
        <f>IFERROR(__xludf.DUMMYFUNCTION("""COMPUTED_VALUE"""),"s21*****sphs.hc.edu.tw")</f>
        <v>s21*****sphs.hc.edu.tw</v>
      </c>
      <c r="D683" s="9" t="str">
        <f>IFERROR(__xludf.DUMMYFUNCTION("""COMPUTED_VALUE"""),"新竹市私立磐石高級中學")</f>
        <v>新竹市私立磐石高級中學</v>
      </c>
      <c r="E683" s="9" t="str">
        <f>IFERROR(__xludf.DUMMYFUNCTION("""COMPUTED_VALUE"""),"普通科")</f>
        <v>普通科</v>
      </c>
      <c r="F683" s="9" t="str">
        <f>IFERROR(__xludf.DUMMYFUNCTION("""COMPUTED_VALUE"""),"二年級")</f>
        <v>二年級</v>
      </c>
      <c r="G683" s="10" t="str">
        <f>IFERROR(__xludf.DUMMYFUNCTION("""COMPUTED_VALUE"""),"獎狀")</f>
        <v>獎狀</v>
      </c>
      <c r="H683" s="9"/>
    </row>
    <row r="684">
      <c r="A684" s="5" t="s">
        <v>9</v>
      </c>
      <c r="B684" s="9" t="str">
        <f>IFERROR(__xludf.DUMMYFUNCTION("""COMPUTED_VALUE"""),"林O渝")</f>
        <v>林O渝</v>
      </c>
      <c r="C684" s="9" t="str">
        <f>IFERROR(__xludf.DUMMYFUNCTION("""COMPUTED_VALUE"""),"s21*****sphs.hc.edu.tw")</f>
        <v>s21*****sphs.hc.edu.tw</v>
      </c>
      <c r="D684" s="9" t="str">
        <f>IFERROR(__xludf.DUMMYFUNCTION("""COMPUTED_VALUE"""),"新竹市私立磐石高級中學")</f>
        <v>新竹市私立磐石高級中學</v>
      </c>
      <c r="E684" s="9" t="str">
        <f>IFERROR(__xludf.DUMMYFUNCTION("""COMPUTED_VALUE"""),"普通科")</f>
        <v>普通科</v>
      </c>
      <c r="F684" s="9" t="str">
        <f>IFERROR(__xludf.DUMMYFUNCTION("""COMPUTED_VALUE"""),"二年級")</f>
        <v>二年級</v>
      </c>
      <c r="G684" s="10" t="str">
        <f>IFERROR(__xludf.DUMMYFUNCTION("""COMPUTED_VALUE"""),"獎狀")</f>
        <v>獎狀</v>
      </c>
      <c r="H684" s="9"/>
    </row>
    <row r="685">
      <c r="A685" s="5" t="s">
        <v>9</v>
      </c>
      <c r="B685" s="9" t="str">
        <f>IFERROR(__xludf.DUMMYFUNCTION("""COMPUTED_VALUE"""),"吳O鴻")</f>
        <v>吳O鴻</v>
      </c>
      <c r="C685" s="9" t="str">
        <f>IFERROR(__xludf.DUMMYFUNCTION("""COMPUTED_VALUE"""),"wug*****g935@gmail.com")</f>
        <v>wug*****g935@gmail.com</v>
      </c>
      <c r="D685" s="9" t="str">
        <f>IFERROR(__xludf.DUMMYFUNCTION("""COMPUTED_VALUE"""),"新竹市立成德高級中學")</f>
        <v>新竹市立成德高級中學</v>
      </c>
      <c r="E685" s="9" t="str">
        <f>IFERROR(__xludf.DUMMYFUNCTION("""COMPUTED_VALUE"""),"普通科")</f>
        <v>普通科</v>
      </c>
      <c r="F685" s="9" t="str">
        <f>IFERROR(__xludf.DUMMYFUNCTION("""COMPUTED_VALUE"""),"一年級")</f>
        <v>一年級</v>
      </c>
      <c r="G685" s="10" t="str">
        <f>IFERROR(__xludf.DUMMYFUNCTION("""COMPUTED_VALUE"""),"獎狀")</f>
        <v>獎狀</v>
      </c>
      <c r="H685" s="9"/>
    </row>
    <row r="686">
      <c r="A686" s="5" t="s">
        <v>9</v>
      </c>
      <c r="B686" s="9" t="str">
        <f>IFERROR(__xludf.DUMMYFUNCTION("""COMPUTED_VALUE"""),"劉O宏")</f>
        <v>劉O宏</v>
      </c>
      <c r="C686" s="9" t="str">
        <f>IFERROR(__xludf.DUMMYFUNCTION("""COMPUTED_VALUE"""),"jos*****69@smail.hc.edu.tw")</f>
        <v>jos*****69@smail.hc.edu.tw</v>
      </c>
      <c r="D686" s="9" t="str">
        <f>IFERROR(__xludf.DUMMYFUNCTION("""COMPUTED_VALUE"""),"新竹市立成德高級中學")</f>
        <v>新竹市立成德高級中學</v>
      </c>
      <c r="E686" s="9" t="str">
        <f>IFERROR(__xludf.DUMMYFUNCTION("""COMPUTED_VALUE"""),"普通科")</f>
        <v>普通科</v>
      </c>
      <c r="F686" s="9" t="str">
        <f>IFERROR(__xludf.DUMMYFUNCTION("""COMPUTED_VALUE"""),"三年級")</f>
        <v>三年級</v>
      </c>
      <c r="G686" s="10" t="str">
        <f>IFERROR(__xludf.DUMMYFUNCTION("""COMPUTED_VALUE"""),"獎狀")</f>
        <v>獎狀</v>
      </c>
      <c r="H686" s="9"/>
    </row>
    <row r="687">
      <c r="A687" s="5" t="s">
        <v>9</v>
      </c>
      <c r="B687" s="9" t="str">
        <f>IFERROR(__xludf.DUMMYFUNCTION("""COMPUTED_VALUE"""),"邱O芸")</f>
        <v>邱O芸</v>
      </c>
      <c r="C687" s="9" t="str">
        <f>IFERROR(__xludf.DUMMYFUNCTION("""COMPUTED_VALUE"""),"joj*****1202@gmail.com")</f>
        <v>joj*****1202@gmail.com</v>
      </c>
      <c r="D687" s="9" t="str">
        <f>IFERROR(__xludf.DUMMYFUNCTION("""COMPUTED_VALUE"""),"國立新竹女子高級中學")</f>
        <v>國立新竹女子高級中學</v>
      </c>
      <c r="E687" s="9" t="str">
        <f>IFERROR(__xludf.DUMMYFUNCTION("""COMPUTED_VALUE"""),"普通科")</f>
        <v>普通科</v>
      </c>
      <c r="F687" s="9" t="str">
        <f>IFERROR(__xludf.DUMMYFUNCTION("""COMPUTED_VALUE"""),"一年級")</f>
        <v>一年級</v>
      </c>
      <c r="G687" s="10" t="str">
        <f>IFERROR(__xludf.DUMMYFUNCTION("""COMPUTED_VALUE"""),"獎狀")</f>
        <v>獎狀</v>
      </c>
      <c r="H687" s="9"/>
    </row>
    <row r="688">
      <c r="A688" s="5" t="s">
        <v>9</v>
      </c>
      <c r="B688" s="9" t="str">
        <f>IFERROR(__xludf.DUMMYFUNCTION("""COMPUTED_VALUE"""),"吳O頤")</f>
        <v>吳O頤</v>
      </c>
      <c r="C688" s="9" t="str">
        <f>IFERROR(__xludf.DUMMYFUNCTION("""COMPUTED_VALUE"""),"310*****tu.hgsh.hc.edu.tw")</f>
        <v>310*****tu.hgsh.hc.edu.tw</v>
      </c>
      <c r="D688" s="9" t="str">
        <f>IFERROR(__xludf.DUMMYFUNCTION("""COMPUTED_VALUE"""),"國立新竹女子高級中學")</f>
        <v>國立新竹女子高級中學</v>
      </c>
      <c r="E688" s="9" t="str">
        <f>IFERROR(__xludf.DUMMYFUNCTION("""COMPUTED_VALUE"""),"普通科")</f>
        <v>普通科</v>
      </c>
      <c r="F688" s="9" t="str">
        <f>IFERROR(__xludf.DUMMYFUNCTION("""COMPUTED_VALUE"""),"一年級")</f>
        <v>一年級</v>
      </c>
      <c r="G688" s="10" t="str">
        <f>IFERROR(__xludf.DUMMYFUNCTION("""COMPUTED_VALUE"""),"獎狀")</f>
        <v>獎狀</v>
      </c>
      <c r="H688" s="11"/>
    </row>
    <row r="689">
      <c r="A689" s="5" t="s">
        <v>9</v>
      </c>
      <c r="B689" s="9" t="str">
        <f>IFERROR(__xludf.DUMMYFUNCTION("""COMPUTED_VALUE"""),"劉O宸")</f>
        <v>劉O宸</v>
      </c>
      <c r="C689" s="9" t="str">
        <f>IFERROR(__xludf.DUMMYFUNCTION("""COMPUTED_VALUE"""),"ali*****6.hc@mail.edu.tw")</f>
        <v>ali*****6.hc@mail.edu.tw</v>
      </c>
      <c r="D689" s="9" t="str">
        <f>IFERROR(__xludf.DUMMYFUNCTION("""COMPUTED_VALUE"""),"國立新竹女子高級中學")</f>
        <v>國立新竹女子高級中學</v>
      </c>
      <c r="E689" s="9" t="str">
        <f>IFERROR(__xludf.DUMMYFUNCTION("""COMPUTED_VALUE"""),"普通科")</f>
        <v>普通科</v>
      </c>
      <c r="F689" s="9" t="str">
        <f>IFERROR(__xludf.DUMMYFUNCTION("""COMPUTED_VALUE"""),"一年級")</f>
        <v>一年級</v>
      </c>
      <c r="G689" s="10" t="str">
        <f>IFERROR(__xludf.DUMMYFUNCTION("""COMPUTED_VALUE"""),"獎狀")</f>
        <v>獎狀</v>
      </c>
      <c r="H689" s="11"/>
    </row>
    <row r="690">
      <c r="A690" s="5" t="s">
        <v>9</v>
      </c>
      <c r="B690" s="9" t="str">
        <f>IFERROR(__xludf.DUMMYFUNCTION("""COMPUTED_VALUE"""),"李O儀")</f>
        <v>李O儀</v>
      </c>
      <c r="C690" s="9" t="str">
        <f>IFERROR(__xludf.DUMMYFUNCTION("""COMPUTED_VALUE"""),"lee*****78605@gmail.com")</f>
        <v>lee*****78605@gmail.com</v>
      </c>
      <c r="D690" s="9" t="str">
        <f>IFERROR(__xludf.DUMMYFUNCTION("""COMPUTED_VALUE"""),"國立新竹女子高級中學")</f>
        <v>國立新竹女子高級中學</v>
      </c>
      <c r="E690" s="9" t="str">
        <f>IFERROR(__xludf.DUMMYFUNCTION("""COMPUTED_VALUE"""),"普通科")</f>
        <v>普通科</v>
      </c>
      <c r="F690" s="9" t="str">
        <f>IFERROR(__xludf.DUMMYFUNCTION("""COMPUTED_VALUE"""),"一年級")</f>
        <v>一年級</v>
      </c>
      <c r="G690" s="10" t="str">
        <f>IFERROR(__xludf.DUMMYFUNCTION("""COMPUTED_VALUE"""),"獎狀")</f>
        <v>獎狀</v>
      </c>
      <c r="H690" s="11"/>
    </row>
    <row r="691">
      <c r="A691" s="5" t="s">
        <v>9</v>
      </c>
      <c r="B691" s="9" t="str">
        <f>IFERROR(__xludf.DUMMYFUNCTION("""COMPUTED_VALUE"""),"羅O綺")</f>
        <v>羅O綺</v>
      </c>
      <c r="C691" s="9" t="str">
        <f>IFERROR(__xludf.DUMMYFUNCTION("""COMPUTED_VALUE"""),"310*****tu.hgsh.hc.edu.tw")</f>
        <v>310*****tu.hgsh.hc.edu.tw</v>
      </c>
      <c r="D691" s="9" t="str">
        <f>IFERROR(__xludf.DUMMYFUNCTION("""COMPUTED_VALUE"""),"國立新竹女子高級中學")</f>
        <v>國立新竹女子高級中學</v>
      </c>
      <c r="E691" s="9" t="str">
        <f>IFERROR(__xludf.DUMMYFUNCTION("""COMPUTED_VALUE"""),"普通科")</f>
        <v>普通科</v>
      </c>
      <c r="F691" s="9" t="str">
        <f>IFERROR(__xludf.DUMMYFUNCTION("""COMPUTED_VALUE"""),"二年級")</f>
        <v>二年級</v>
      </c>
      <c r="G691" s="10" t="str">
        <f>IFERROR(__xludf.DUMMYFUNCTION("""COMPUTED_VALUE"""),"獎狀")</f>
        <v>獎狀</v>
      </c>
      <c r="H691" s="11"/>
    </row>
    <row r="692">
      <c r="A692" s="5" t="s">
        <v>9</v>
      </c>
      <c r="B692" s="9" t="str">
        <f>IFERROR(__xludf.DUMMYFUNCTION("""COMPUTED_VALUE"""),"陳O云")</f>
        <v>陳O云</v>
      </c>
      <c r="C692" s="9" t="str">
        <f>IFERROR(__xludf.DUMMYFUNCTION("""COMPUTED_VALUE"""),"210*****tu.hgsh.hc.edu.tw")</f>
        <v>210*****tu.hgsh.hc.edu.tw</v>
      </c>
      <c r="D692" s="9" t="str">
        <f>IFERROR(__xludf.DUMMYFUNCTION("""COMPUTED_VALUE"""),"國立新竹女子高級中學")</f>
        <v>國立新竹女子高級中學</v>
      </c>
      <c r="E692" s="9" t="str">
        <f>IFERROR(__xludf.DUMMYFUNCTION("""COMPUTED_VALUE"""),"普通科")</f>
        <v>普通科</v>
      </c>
      <c r="F692" s="9" t="str">
        <f>IFERROR(__xludf.DUMMYFUNCTION("""COMPUTED_VALUE"""),"三年級")</f>
        <v>三年級</v>
      </c>
      <c r="G692" s="10" t="str">
        <f>IFERROR(__xludf.DUMMYFUNCTION("""COMPUTED_VALUE"""),"獎狀")</f>
        <v>獎狀</v>
      </c>
      <c r="H692" s="11"/>
    </row>
    <row r="693">
      <c r="A693" s="5" t="s">
        <v>9</v>
      </c>
      <c r="B693" s="9" t="str">
        <f>IFERROR(__xludf.DUMMYFUNCTION("""COMPUTED_VALUE"""),"張O安")</f>
        <v>張O安</v>
      </c>
      <c r="C693" s="9" t="str">
        <f>IFERROR(__xludf.DUMMYFUNCTION("""COMPUTED_VALUE"""),"s31*****nehs.hc.edu.tw")</f>
        <v>s31*****nehs.hc.edu.tw</v>
      </c>
      <c r="D693" s="9" t="str">
        <f>IFERROR(__xludf.DUMMYFUNCTION("""COMPUTED_VALUE"""),"國立新竹科學園區實驗高級中等學校")</f>
        <v>國立新竹科學園區實驗高級中等學校</v>
      </c>
      <c r="E693" s="9" t="str">
        <f>IFERROR(__xludf.DUMMYFUNCTION("""COMPUTED_VALUE"""),"普通科")</f>
        <v>普通科</v>
      </c>
      <c r="F693" s="9" t="str">
        <f>IFERROR(__xludf.DUMMYFUNCTION("""COMPUTED_VALUE"""),"二年級")</f>
        <v>二年級</v>
      </c>
      <c r="G693" s="10" t="str">
        <f>IFERROR(__xludf.DUMMYFUNCTION("""COMPUTED_VALUE"""),"獎狀")</f>
        <v>獎狀</v>
      </c>
      <c r="H693" s="11"/>
    </row>
    <row r="694">
      <c r="A694" s="5" t="s">
        <v>9</v>
      </c>
      <c r="B694" s="9" t="str">
        <f>IFERROR(__xludf.DUMMYFUNCTION("""COMPUTED_VALUE"""),"劉O慧")</f>
        <v>劉O慧</v>
      </c>
      <c r="C694" s="9" t="str">
        <f>IFERROR(__xludf.DUMMYFUNCTION("""COMPUTED_VALUE"""),"jas*****1@gmail.com")</f>
        <v>jas*****1@gmail.com</v>
      </c>
      <c r="D694" s="9" t="str">
        <f>IFERROR(__xludf.DUMMYFUNCTION("""COMPUTED_VALUE"""),"新竹市私立光復高級中學")</f>
        <v>新竹市私立光復高級中學</v>
      </c>
      <c r="E694" s="9" t="str">
        <f>IFERROR(__xludf.DUMMYFUNCTION("""COMPUTED_VALUE"""),"普通科")</f>
        <v>普通科</v>
      </c>
      <c r="F694" s="9" t="str">
        <f>IFERROR(__xludf.DUMMYFUNCTION("""COMPUTED_VALUE"""),"二年級")</f>
        <v>二年級</v>
      </c>
      <c r="G694" s="10" t="str">
        <f>IFERROR(__xludf.DUMMYFUNCTION("""COMPUTED_VALUE"""),"■商品卡$200")</f>
        <v>■商品卡$200</v>
      </c>
      <c r="H694" s="9"/>
    </row>
    <row r="695">
      <c r="A695" s="5" t="s">
        <v>9</v>
      </c>
      <c r="B695" s="9" t="str">
        <f>IFERROR(__xludf.DUMMYFUNCTION("""COMPUTED_VALUE"""),"張O瑄")</f>
        <v>張O瑄</v>
      </c>
      <c r="C695" s="9" t="str">
        <f>IFERROR(__xludf.DUMMYFUNCTION("""COMPUTED_VALUE"""),"kfs*****@kfsh.hc.edu.tw")</f>
        <v>kfs*****@kfsh.hc.edu.tw</v>
      </c>
      <c r="D695" s="9" t="str">
        <f>IFERROR(__xludf.DUMMYFUNCTION("""COMPUTED_VALUE"""),"新竹市私立光復高級中學")</f>
        <v>新竹市私立光復高級中學</v>
      </c>
      <c r="E695" s="9" t="str">
        <f>IFERROR(__xludf.DUMMYFUNCTION("""COMPUTED_VALUE"""),"普通科")</f>
        <v>普通科</v>
      </c>
      <c r="F695" s="9" t="str">
        <f>IFERROR(__xludf.DUMMYFUNCTION("""COMPUTED_VALUE"""),"二年級")</f>
        <v>二年級</v>
      </c>
      <c r="G695" s="10" t="str">
        <f>IFERROR(__xludf.DUMMYFUNCTION("""COMPUTED_VALUE"""),"獎狀")</f>
        <v>獎狀</v>
      </c>
      <c r="H695" s="11"/>
    </row>
    <row r="696">
      <c r="A696" s="5" t="s">
        <v>9</v>
      </c>
      <c r="B696" s="9" t="str">
        <f>IFERROR(__xludf.DUMMYFUNCTION("""COMPUTED_VALUE"""),"何O姍")</f>
        <v>何O姍</v>
      </c>
      <c r="C696" s="9" t="str">
        <f>IFERROR(__xludf.DUMMYFUNCTION("""COMPUTED_VALUE"""),"yus*****0727@gmail.com")</f>
        <v>yus*****0727@gmail.com</v>
      </c>
      <c r="D696" s="9" t="str">
        <f>IFERROR(__xludf.DUMMYFUNCTION("""COMPUTED_VALUE"""),"新竹市立建功高級中學")</f>
        <v>新竹市立建功高級中學</v>
      </c>
      <c r="E696" s="9" t="str">
        <f>IFERROR(__xludf.DUMMYFUNCTION("""COMPUTED_VALUE"""),"普通科")</f>
        <v>普通科</v>
      </c>
      <c r="F696" s="9" t="str">
        <f>IFERROR(__xludf.DUMMYFUNCTION("""COMPUTED_VALUE"""),"一年級")</f>
        <v>一年級</v>
      </c>
      <c r="G696" s="10" t="str">
        <f>IFERROR(__xludf.DUMMYFUNCTION("""COMPUTED_VALUE"""),"獎狀")</f>
        <v>獎狀</v>
      </c>
      <c r="H696" s="11" t="str">
        <f>IFERROR(__xludf.DUMMYFUNCTION("""COMPUTED_VALUE"""),"學籍資料不齊，請提供【就讀班級】")</f>
        <v>學籍資料不齊，請提供【就讀班級】</v>
      </c>
    </row>
    <row r="697">
      <c r="A697" s="5" t="s">
        <v>9</v>
      </c>
      <c r="B697" s="9" t="str">
        <f>IFERROR(__xludf.DUMMYFUNCTION("""COMPUTED_VALUE"""),"張O淇")</f>
        <v>張O淇</v>
      </c>
      <c r="C697" s="9" t="str">
        <f>IFERROR(__xludf.DUMMYFUNCTION("""COMPUTED_VALUE"""),"apo*****ad1225@gmail.com")</f>
        <v>apo*****ad1225@gmail.com</v>
      </c>
      <c r="D697" s="9" t="str">
        <f>IFERROR(__xludf.DUMMYFUNCTION("""COMPUTED_VALUE"""),"新竹市立建功高級中學")</f>
        <v>新竹市立建功高級中學</v>
      </c>
      <c r="E697" s="9" t="str">
        <f>IFERROR(__xludf.DUMMYFUNCTION("""COMPUTED_VALUE"""),"普通科")</f>
        <v>普通科</v>
      </c>
      <c r="F697" s="9" t="str">
        <f>IFERROR(__xludf.DUMMYFUNCTION("""COMPUTED_VALUE"""),"二年級")</f>
        <v>二年級</v>
      </c>
      <c r="G697" s="10" t="str">
        <f>IFERROR(__xludf.DUMMYFUNCTION("""COMPUTED_VALUE"""),"獎狀")</f>
        <v>獎狀</v>
      </c>
      <c r="H697" s="11"/>
    </row>
    <row r="698">
      <c r="A698" s="5" t="s">
        <v>9</v>
      </c>
      <c r="B698" s="9" t="str">
        <f>IFERROR(__xludf.DUMMYFUNCTION("""COMPUTED_VALUE"""),"歐O德")</f>
        <v>歐O德</v>
      </c>
      <c r="C698" s="9" t="str">
        <f>IFERROR(__xludf.DUMMYFUNCTION("""COMPUTED_VALUE"""),"dev*****1@smail.hc.edu.tw")</f>
        <v>dev*****1@smail.hc.edu.tw</v>
      </c>
      <c r="D698" s="9" t="str">
        <f>IFERROR(__xludf.DUMMYFUNCTION("""COMPUTED_VALUE"""),"新竹市立建功高級中學")</f>
        <v>新竹市立建功高級中學</v>
      </c>
      <c r="E698" s="9" t="str">
        <f>IFERROR(__xludf.DUMMYFUNCTION("""COMPUTED_VALUE"""),"普通科")</f>
        <v>普通科</v>
      </c>
      <c r="F698" s="9" t="str">
        <f>IFERROR(__xludf.DUMMYFUNCTION("""COMPUTED_VALUE"""),"二年級")</f>
        <v>二年級</v>
      </c>
      <c r="G698" s="10" t="str">
        <f>IFERROR(__xludf.DUMMYFUNCTION("""COMPUTED_VALUE"""),"獎狀")</f>
        <v>獎狀</v>
      </c>
      <c r="H698" s="11"/>
    </row>
    <row r="699">
      <c r="A699" s="5" t="s">
        <v>9</v>
      </c>
      <c r="B699" s="9" t="str">
        <f>IFERROR(__xludf.DUMMYFUNCTION("""COMPUTED_VALUE"""),"何O蔚")</f>
        <v>何O蔚</v>
      </c>
      <c r="C699" s="9" t="str">
        <f>IFERROR(__xludf.DUMMYFUNCTION("""COMPUTED_VALUE"""),"cla*****u99@gmail.com")</f>
        <v>cla*****u99@gmail.com</v>
      </c>
      <c r="D699" s="9" t="str">
        <f>IFERROR(__xludf.DUMMYFUNCTION("""COMPUTED_VALUE"""),"國立新竹高級商業職業學校")</f>
        <v>國立新竹高級商業職業學校</v>
      </c>
      <c r="E699" s="9" t="str">
        <f>IFERROR(__xludf.DUMMYFUNCTION("""COMPUTED_VALUE"""),"普通科")</f>
        <v>普通科</v>
      </c>
      <c r="F699" s="9" t="str">
        <f>IFERROR(__xludf.DUMMYFUNCTION("""COMPUTED_VALUE"""),"二年級")</f>
        <v>二年級</v>
      </c>
      <c r="G699" s="10" t="str">
        <f>IFERROR(__xludf.DUMMYFUNCTION("""COMPUTED_VALUE"""),"獎狀")</f>
        <v>獎狀</v>
      </c>
      <c r="H699" s="9"/>
    </row>
    <row r="700">
      <c r="A700" s="5" t="s">
        <v>9</v>
      </c>
      <c r="B700" s="9" t="str">
        <f>IFERROR(__xludf.DUMMYFUNCTION("""COMPUTED_VALUE"""),"羅O晨")</f>
        <v>羅O晨</v>
      </c>
      <c r="C700" s="9" t="str">
        <f>IFERROR(__xludf.DUMMYFUNCTION("""COMPUTED_VALUE"""),"g02*****@hchs.hc.edu.tw")</f>
        <v>g02*****@hchs.hc.edu.tw</v>
      </c>
      <c r="D700" s="9" t="str">
        <f>IFERROR(__xludf.DUMMYFUNCTION("""COMPUTED_VALUE"""),"國立新竹高級中學")</f>
        <v>國立新竹高級中學</v>
      </c>
      <c r="E700" s="9" t="str">
        <f>IFERROR(__xludf.DUMMYFUNCTION("""COMPUTED_VALUE"""),"普通科")</f>
        <v>普通科</v>
      </c>
      <c r="F700" s="9" t="str">
        <f>IFERROR(__xludf.DUMMYFUNCTION("""COMPUTED_VALUE"""),"二年級")</f>
        <v>二年級</v>
      </c>
      <c r="G700" s="10" t="str">
        <f>IFERROR(__xludf.DUMMYFUNCTION("""COMPUTED_VALUE"""),"獎狀")</f>
        <v>獎狀</v>
      </c>
      <c r="H700" s="11"/>
    </row>
    <row r="701">
      <c r="A701" s="5" t="s">
        <v>9</v>
      </c>
      <c r="B701" s="9" t="str">
        <f>IFERROR(__xludf.DUMMYFUNCTION("""COMPUTED_VALUE"""),"伍O瀚")</f>
        <v>伍O瀚</v>
      </c>
      <c r="C701" s="9" t="str">
        <f>IFERROR(__xludf.DUMMYFUNCTION("""COMPUTED_VALUE"""),"nas*****90117@gmail.com")</f>
        <v>nas*****90117@gmail.com</v>
      </c>
      <c r="D701" s="9" t="str">
        <f>IFERROR(__xludf.DUMMYFUNCTION("""COMPUTED_VALUE"""),"新竹市立數位實驗高級中等學校")</f>
        <v>新竹市立數位實驗高級中等學校</v>
      </c>
      <c r="E701" s="9" t="str">
        <f>IFERROR(__xludf.DUMMYFUNCTION("""COMPUTED_VALUE"""),"普通科")</f>
        <v>普通科</v>
      </c>
      <c r="F701" s="9" t="str">
        <f>IFERROR(__xludf.DUMMYFUNCTION("""COMPUTED_VALUE"""),"一年級")</f>
        <v>一年級</v>
      </c>
      <c r="G701" s="10" t="str">
        <f>IFERROR(__xludf.DUMMYFUNCTION("""COMPUTED_VALUE"""),"獎狀")</f>
        <v>獎狀</v>
      </c>
      <c r="H701" s="11"/>
    </row>
    <row r="702">
      <c r="A702" s="5" t="s">
        <v>9</v>
      </c>
      <c r="B702" s="9" t="str">
        <f>IFERROR(__xludf.DUMMYFUNCTION("""COMPUTED_VALUE"""),"張O睿")</f>
        <v>張O睿</v>
      </c>
      <c r="C702" s="9" t="str">
        <f>IFERROR(__xludf.DUMMYFUNCTION("""COMPUTED_VALUE"""),"cps*****080@cpshs.hcc.edu.tw")</f>
        <v>cps*****080@cpshs.hcc.edu.tw</v>
      </c>
      <c r="D702" s="9" t="str">
        <f>IFERROR(__xludf.DUMMYFUNCTION("""COMPUTED_VALUE"""),"國立竹北高級中學")</f>
        <v>國立竹北高級中學</v>
      </c>
      <c r="E702" s="9" t="str">
        <f>IFERROR(__xludf.DUMMYFUNCTION("""COMPUTED_VALUE"""),"普通科")</f>
        <v>普通科</v>
      </c>
      <c r="F702" s="9" t="str">
        <f>IFERROR(__xludf.DUMMYFUNCTION("""COMPUTED_VALUE"""),"一年級")</f>
        <v>一年級</v>
      </c>
      <c r="G702" s="10" t="str">
        <f>IFERROR(__xludf.DUMMYFUNCTION("""COMPUTED_VALUE"""),"獎狀")</f>
        <v>獎狀</v>
      </c>
      <c r="H702" s="9"/>
    </row>
    <row r="703">
      <c r="A703" s="5" t="s">
        <v>9</v>
      </c>
      <c r="B703" s="9" t="str">
        <f>IFERROR(__xludf.DUMMYFUNCTION("""COMPUTED_VALUE"""),"王O惠")</f>
        <v>王O惠</v>
      </c>
      <c r="C703" s="9" t="str">
        <f>IFERROR(__xludf.DUMMYFUNCTION("""COMPUTED_VALUE"""),"wan*****30@gmail.com")</f>
        <v>wan*****30@gmail.com</v>
      </c>
      <c r="D703" s="9" t="str">
        <f>IFERROR(__xludf.DUMMYFUNCTION("""COMPUTED_VALUE"""),"國立竹北高級中學")</f>
        <v>國立竹北高級中學</v>
      </c>
      <c r="E703" s="9" t="str">
        <f>IFERROR(__xludf.DUMMYFUNCTION("""COMPUTED_VALUE"""),"普通科")</f>
        <v>普通科</v>
      </c>
      <c r="F703" s="9" t="str">
        <f>IFERROR(__xludf.DUMMYFUNCTION("""COMPUTED_VALUE"""),"二年級")</f>
        <v>二年級</v>
      </c>
      <c r="G703" s="10" t="str">
        <f>IFERROR(__xludf.DUMMYFUNCTION("""COMPUTED_VALUE"""),"獎狀")</f>
        <v>獎狀</v>
      </c>
      <c r="H703" s="11"/>
    </row>
    <row r="704">
      <c r="A704" s="5" t="s">
        <v>9</v>
      </c>
      <c r="B704" s="9" t="str">
        <f>IFERROR(__xludf.DUMMYFUNCTION("""COMPUTED_VALUE"""),"魏O安")</f>
        <v>魏O安</v>
      </c>
      <c r="C704" s="9" t="str">
        <f>IFERROR(__xludf.DUMMYFUNCTION("""COMPUTED_VALUE"""),"joa*****16@mail.edu.tw")</f>
        <v>joa*****16@mail.edu.tw</v>
      </c>
      <c r="D704" s="9" t="str">
        <f>IFERROR(__xludf.DUMMYFUNCTION("""COMPUTED_VALUE"""),"國立竹北高級中學")</f>
        <v>國立竹北高級中學</v>
      </c>
      <c r="E704" s="9" t="str">
        <f>IFERROR(__xludf.DUMMYFUNCTION("""COMPUTED_VALUE"""),"普通科")</f>
        <v>普通科</v>
      </c>
      <c r="F704" s="9" t="str">
        <f>IFERROR(__xludf.DUMMYFUNCTION("""COMPUTED_VALUE"""),"二年級")</f>
        <v>二年級</v>
      </c>
      <c r="G704" s="10" t="str">
        <f>IFERROR(__xludf.DUMMYFUNCTION("""COMPUTED_VALUE"""),"○商品卡$500")</f>
        <v>○商品卡$500</v>
      </c>
      <c r="H704" s="11"/>
    </row>
    <row r="705">
      <c r="A705" s="5" t="s">
        <v>9</v>
      </c>
      <c r="B705" s="9" t="str">
        <f>IFERROR(__xludf.DUMMYFUNCTION("""COMPUTED_VALUE"""),"劉O安")</f>
        <v>劉O安</v>
      </c>
      <c r="C705" s="9" t="str">
        <f>IFERROR(__xludf.DUMMYFUNCTION("""COMPUTED_VALUE"""),"liu*****1118@gmail.com")</f>
        <v>liu*****1118@gmail.com</v>
      </c>
      <c r="D705" s="9" t="str">
        <f>IFERROR(__xludf.DUMMYFUNCTION("""COMPUTED_VALUE"""),"新竹縣立六家高級中學")</f>
        <v>新竹縣立六家高級中學</v>
      </c>
      <c r="E705" s="9" t="str">
        <f>IFERROR(__xludf.DUMMYFUNCTION("""COMPUTED_VALUE"""),"普通科")</f>
        <v>普通科</v>
      </c>
      <c r="F705" s="9" t="str">
        <f>IFERROR(__xludf.DUMMYFUNCTION("""COMPUTED_VALUE"""),"一年級")</f>
        <v>一年級</v>
      </c>
      <c r="G705" s="10" t="str">
        <f>IFERROR(__xludf.DUMMYFUNCTION("""COMPUTED_VALUE"""),"獎狀")</f>
        <v>獎狀</v>
      </c>
      <c r="H705" s="11"/>
    </row>
    <row r="706">
      <c r="A706" s="5" t="s">
        <v>9</v>
      </c>
      <c r="B706" s="9" t="str">
        <f>IFERROR(__xludf.DUMMYFUNCTION("""COMPUTED_VALUE"""),"黃O晏")</f>
        <v>黃O晏</v>
      </c>
      <c r="C706" s="9" t="str">
        <f>IFERROR(__xludf.DUMMYFUNCTION("""COMPUTED_VALUE"""),"toi*****lahuang@gmail.com")</f>
        <v>toi*****lahuang@gmail.com</v>
      </c>
      <c r="D706" s="9" t="str">
        <f>IFERROR(__xludf.DUMMYFUNCTION("""COMPUTED_VALUE"""),"新竹縣立六家高級中學")</f>
        <v>新竹縣立六家高級中學</v>
      </c>
      <c r="E706" s="9" t="str">
        <f>IFERROR(__xludf.DUMMYFUNCTION("""COMPUTED_VALUE"""),"普通科")</f>
        <v>普通科</v>
      </c>
      <c r="F706" s="9" t="str">
        <f>IFERROR(__xludf.DUMMYFUNCTION("""COMPUTED_VALUE"""),"二年級")</f>
        <v>二年級</v>
      </c>
      <c r="G706" s="10" t="str">
        <f>IFERROR(__xludf.DUMMYFUNCTION("""COMPUTED_VALUE"""),"獎狀")</f>
        <v>獎狀</v>
      </c>
      <c r="H706" s="11"/>
    </row>
    <row r="707">
      <c r="A707" s="5" t="s">
        <v>9</v>
      </c>
      <c r="B707" s="9" t="str">
        <f>IFERROR(__xludf.DUMMYFUNCTION("""COMPUTED_VALUE"""),"江O諺")</f>
        <v>江O諺</v>
      </c>
      <c r="C707" s="9" t="str">
        <f>IFERROR(__xludf.DUMMYFUNCTION("""COMPUTED_VALUE"""),"fra*****ang1218@gmail.com")</f>
        <v>fra*****ang1218@gmail.com</v>
      </c>
      <c r="D707" s="9" t="str">
        <f>IFERROR(__xludf.DUMMYFUNCTION("""COMPUTED_VALUE"""),"新竹縣立六家高級中學")</f>
        <v>新竹縣立六家高級中學</v>
      </c>
      <c r="E707" s="9" t="str">
        <f>IFERROR(__xludf.DUMMYFUNCTION("""COMPUTED_VALUE"""),"普通科")</f>
        <v>普通科</v>
      </c>
      <c r="F707" s="9" t="str">
        <f>IFERROR(__xludf.DUMMYFUNCTION("""COMPUTED_VALUE"""),"二年級")</f>
        <v>二年級</v>
      </c>
      <c r="G707" s="10" t="str">
        <f>IFERROR(__xludf.DUMMYFUNCTION("""COMPUTED_VALUE"""),"獎狀")</f>
        <v>獎狀</v>
      </c>
      <c r="H707" s="11"/>
    </row>
    <row r="708">
      <c r="A708" s="5" t="s">
        <v>9</v>
      </c>
      <c r="B708" s="9" t="str">
        <f>IFERROR(__xludf.DUMMYFUNCTION("""COMPUTED_VALUE"""),"陳O瑄")</f>
        <v>陳O瑄</v>
      </c>
      <c r="C708" s="9" t="str">
        <f>IFERROR(__xludf.DUMMYFUNCTION("""COMPUTED_VALUE"""),"che*****ip28@stu.chhs.hcc.edu.tw")</f>
        <v>che*****ip28@stu.chhs.hcc.edu.tw</v>
      </c>
      <c r="D708" s="9" t="str">
        <f>IFERROR(__xludf.DUMMYFUNCTION("""COMPUTED_VALUE"""),"新竹縣私立忠信高級中學")</f>
        <v>新竹縣私立忠信高級中學</v>
      </c>
      <c r="E708" s="9" t="str">
        <f>IFERROR(__xludf.DUMMYFUNCTION("""COMPUTED_VALUE"""),"普通科")</f>
        <v>普通科</v>
      </c>
      <c r="F708" s="9" t="str">
        <f>IFERROR(__xludf.DUMMYFUNCTION("""COMPUTED_VALUE"""),"一年級")</f>
        <v>一年級</v>
      </c>
      <c r="G708" s="10" t="str">
        <f>IFERROR(__xludf.DUMMYFUNCTION("""COMPUTED_VALUE"""),"獎狀")</f>
        <v>獎狀</v>
      </c>
      <c r="H708" s="9"/>
    </row>
    <row r="709">
      <c r="A709" s="5" t="s">
        <v>9</v>
      </c>
      <c r="B709" s="9" t="str">
        <f>IFERROR(__xludf.DUMMYFUNCTION("""COMPUTED_VALUE"""),"陳O諺")</f>
        <v>陳O諺</v>
      </c>
      <c r="C709" s="9" t="str">
        <f>IFERROR(__xludf.DUMMYFUNCTION("""COMPUTED_VALUE"""),"che*****ip28@stu.chhs.hcc.edu.tw")</f>
        <v>che*****ip28@stu.chhs.hcc.edu.tw</v>
      </c>
      <c r="D709" s="9" t="str">
        <f>IFERROR(__xludf.DUMMYFUNCTION("""COMPUTED_VALUE"""),"新竹縣私立忠信高級中學")</f>
        <v>新竹縣私立忠信高級中學</v>
      </c>
      <c r="E709" s="9" t="str">
        <f>IFERROR(__xludf.DUMMYFUNCTION("""COMPUTED_VALUE"""),"普通科")</f>
        <v>普通科</v>
      </c>
      <c r="F709" s="9" t="str">
        <f>IFERROR(__xludf.DUMMYFUNCTION("""COMPUTED_VALUE"""),"一年級")</f>
        <v>一年級</v>
      </c>
      <c r="G709" s="10" t="str">
        <f>IFERROR(__xludf.DUMMYFUNCTION("""COMPUTED_VALUE"""),"獎狀")</f>
        <v>獎狀</v>
      </c>
      <c r="H709" s="9"/>
    </row>
    <row r="710">
      <c r="A710" s="5" t="s">
        <v>9</v>
      </c>
      <c r="B710" s="9" t="str">
        <f>IFERROR(__xludf.DUMMYFUNCTION("""COMPUTED_VALUE"""),"朱O昕")</f>
        <v>朱O昕</v>
      </c>
      <c r="C710" s="9" t="str">
        <f>IFERROR(__xludf.DUMMYFUNCTION("""COMPUTED_VALUE"""),"zhu*****p28@stu.chhs.hcc.edu.tw")</f>
        <v>zhu*****p28@stu.chhs.hcc.edu.tw</v>
      </c>
      <c r="D710" s="9" t="str">
        <f>IFERROR(__xludf.DUMMYFUNCTION("""COMPUTED_VALUE"""),"新竹縣私立忠信高級中學")</f>
        <v>新竹縣私立忠信高級中學</v>
      </c>
      <c r="E710" s="9" t="str">
        <f>IFERROR(__xludf.DUMMYFUNCTION("""COMPUTED_VALUE"""),"普通科")</f>
        <v>普通科</v>
      </c>
      <c r="F710" s="9" t="str">
        <f>IFERROR(__xludf.DUMMYFUNCTION("""COMPUTED_VALUE"""),"一年級")</f>
        <v>一年級</v>
      </c>
      <c r="G710" s="10" t="str">
        <f>IFERROR(__xludf.DUMMYFUNCTION("""COMPUTED_VALUE"""),"獎狀")</f>
        <v>獎狀</v>
      </c>
      <c r="H710" s="9"/>
    </row>
    <row r="711">
      <c r="A711" s="5" t="s">
        <v>9</v>
      </c>
      <c r="B711" s="9" t="str">
        <f>IFERROR(__xludf.DUMMYFUNCTION("""COMPUTED_VALUE"""),"田O玲")</f>
        <v>田O玲</v>
      </c>
      <c r="C711" s="9" t="str">
        <f>IFERROR(__xludf.DUMMYFUNCTION("""COMPUTED_VALUE"""),"tia*****ip28@stu.chhs.hcc.edu.tw")</f>
        <v>tia*****ip28@stu.chhs.hcc.edu.tw</v>
      </c>
      <c r="D711" s="9" t="str">
        <f>IFERROR(__xludf.DUMMYFUNCTION("""COMPUTED_VALUE"""),"新竹縣私立忠信高級中學")</f>
        <v>新竹縣私立忠信高級中學</v>
      </c>
      <c r="E711" s="9" t="str">
        <f>IFERROR(__xludf.DUMMYFUNCTION("""COMPUTED_VALUE"""),"普通科")</f>
        <v>普通科</v>
      </c>
      <c r="F711" s="9" t="str">
        <f>IFERROR(__xludf.DUMMYFUNCTION("""COMPUTED_VALUE"""),"一年級")</f>
        <v>一年級</v>
      </c>
      <c r="G711" s="10" t="str">
        <f>IFERROR(__xludf.DUMMYFUNCTION("""COMPUTED_VALUE"""),"獎狀")</f>
        <v>獎狀</v>
      </c>
      <c r="H711" s="9"/>
    </row>
    <row r="712">
      <c r="A712" s="5" t="s">
        <v>9</v>
      </c>
      <c r="B712" s="9" t="str">
        <f>IFERROR(__xludf.DUMMYFUNCTION("""COMPUTED_VALUE"""),"吳O溱")</f>
        <v>吳O溱</v>
      </c>
      <c r="C712" s="9" t="str">
        <f>IFERROR(__xludf.DUMMYFUNCTION("""COMPUTED_VALUE"""),"wuy*****28@stu.chhs.hcc.edu.tw")</f>
        <v>wuy*****28@stu.chhs.hcc.edu.tw</v>
      </c>
      <c r="D712" s="9" t="str">
        <f>IFERROR(__xludf.DUMMYFUNCTION("""COMPUTED_VALUE"""),"新竹縣私立忠信高級中學")</f>
        <v>新竹縣私立忠信高級中學</v>
      </c>
      <c r="E712" s="9" t="str">
        <f>IFERROR(__xludf.DUMMYFUNCTION("""COMPUTED_VALUE"""),"普通科")</f>
        <v>普通科</v>
      </c>
      <c r="F712" s="9" t="str">
        <f>IFERROR(__xludf.DUMMYFUNCTION("""COMPUTED_VALUE"""),"一年級")</f>
        <v>一年級</v>
      </c>
      <c r="G712" s="10" t="str">
        <f>IFERROR(__xludf.DUMMYFUNCTION("""COMPUTED_VALUE"""),"獎狀")</f>
        <v>獎狀</v>
      </c>
      <c r="H712" s="9"/>
    </row>
    <row r="713">
      <c r="A713" s="5" t="s">
        <v>9</v>
      </c>
      <c r="B713" s="9" t="str">
        <f>IFERROR(__xludf.DUMMYFUNCTION("""COMPUTED_VALUE"""),"林O岑")</f>
        <v>林O岑</v>
      </c>
      <c r="C713" s="9" t="str">
        <f>IFERROR(__xludf.DUMMYFUNCTION("""COMPUTED_VALUE"""),"lin*****p28@stu.chhs.hcc.edu.tw")</f>
        <v>lin*****p28@stu.chhs.hcc.edu.tw</v>
      </c>
      <c r="D713" s="9" t="str">
        <f>IFERROR(__xludf.DUMMYFUNCTION("""COMPUTED_VALUE"""),"新竹縣私立忠信高級中學")</f>
        <v>新竹縣私立忠信高級中學</v>
      </c>
      <c r="E713" s="9" t="str">
        <f>IFERROR(__xludf.DUMMYFUNCTION("""COMPUTED_VALUE"""),"普通科")</f>
        <v>普通科</v>
      </c>
      <c r="F713" s="9" t="str">
        <f>IFERROR(__xludf.DUMMYFUNCTION("""COMPUTED_VALUE"""),"一年級")</f>
        <v>一年級</v>
      </c>
      <c r="G713" s="10" t="str">
        <f>IFERROR(__xludf.DUMMYFUNCTION("""COMPUTED_VALUE"""),"獎狀")</f>
        <v>獎狀</v>
      </c>
      <c r="H713" s="9"/>
    </row>
    <row r="714">
      <c r="A714" s="5" t="s">
        <v>9</v>
      </c>
      <c r="B714" s="9" t="str">
        <f>IFERROR(__xludf.DUMMYFUNCTION("""COMPUTED_VALUE"""),"張O鈴")</f>
        <v>張O鈴</v>
      </c>
      <c r="C714" s="9" t="str">
        <f>IFERROR(__xludf.DUMMYFUNCTION("""COMPUTED_VALUE"""),"zha*****lip28@stu.chhs.hcc.edu.tw")</f>
        <v>zha*****lip28@stu.chhs.hcc.edu.tw</v>
      </c>
      <c r="D714" s="9" t="str">
        <f>IFERROR(__xludf.DUMMYFUNCTION("""COMPUTED_VALUE"""),"新竹縣私立忠信高級中學")</f>
        <v>新竹縣私立忠信高級中學</v>
      </c>
      <c r="E714" s="9" t="str">
        <f>IFERROR(__xludf.DUMMYFUNCTION("""COMPUTED_VALUE"""),"普通科")</f>
        <v>普通科</v>
      </c>
      <c r="F714" s="9" t="str">
        <f>IFERROR(__xludf.DUMMYFUNCTION("""COMPUTED_VALUE"""),"一年級")</f>
        <v>一年級</v>
      </c>
      <c r="G714" s="10" t="str">
        <f>IFERROR(__xludf.DUMMYFUNCTION("""COMPUTED_VALUE"""),"獎狀")</f>
        <v>獎狀</v>
      </c>
      <c r="H714" s="9"/>
    </row>
    <row r="715">
      <c r="A715" s="5" t="s">
        <v>9</v>
      </c>
      <c r="B715" s="9" t="str">
        <f>IFERROR(__xludf.DUMMYFUNCTION("""COMPUTED_VALUE"""),"于O彤")</f>
        <v>于O彤</v>
      </c>
      <c r="C715" s="9" t="str">
        <f>IFERROR(__xludf.DUMMYFUNCTION("""COMPUTED_VALUE"""),"yuz*****28@stu.chhs.hcc.edu.tw")</f>
        <v>yuz*****28@stu.chhs.hcc.edu.tw</v>
      </c>
      <c r="D715" s="9" t="str">
        <f>IFERROR(__xludf.DUMMYFUNCTION("""COMPUTED_VALUE"""),"新竹縣私立忠信高級中學")</f>
        <v>新竹縣私立忠信高級中學</v>
      </c>
      <c r="E715" s="9" t="str">
        <f>IFERROR(__xludf.DUMMYFUNCTION("""COMPUTED_VALUE"""),"普通科")</f>
        <v>普通科</v>
      </c>
      <c r="F715" s="9" t="str">
        <f>IFERROR(__xludf.DUMMYFUNCTION("""COMPUTED_VALUE"""),"一年級")</f>
        <v>一年級</v>
      </c>
      <c r="G715" s="10" t="str">
        <f>IFERROR(__xludf.DUMMYFUNCTION("""COMPUTED_VALUE"""),"獎狀")</f>
        <v>獎狀</v>
      </c>
      <c r="H715" s="9"/>
    </row>
    <row r="716">
      <c r="A716" s="5" t="s">
        <v>9</v>
      </c>
      <c r="B716" s="9" t="str">
        <f>IFERROR(__xludf.DUMMYFUNCTION("""COMPUTED_VALUE"""),"江O葳")</f>
        <v>江O葳</v>
      </c>
      <c r="C716" s="9" t="str">
        <f>IFERROR(__xludf.DUMMYFUNCTION("""COMPUTED_VALUE"""),"jia*****lip28@stu.chhs.hcc.edu.tw")</f>
        <v>jia*****lip28@stu.chhs.hcc.edu.tw</v>
      </c>
      <c r="D716" s="9" t="str">
        <f>IFERROR(__xludf.DUMMYFUNCTION("""COMPUTED_VALUE"""),"新竹縣私立忠信高級中學")</f>
        <v>新竹縣私立忠信高級中學</v>
      </c>
      <c r="E716" s="9" t="str">
        <f>IFERROR(__xludf.DUMMYFUNCTION("""COMPUTED_VALUE"""),"普通科")</f>
        <v>普通科</v>
      </c>
      <c r="F716" s="9" t="str">
        <f>IFERROR(__xludf.DUMMYFUNCTION("""COMPUTED_VALUE"""),"一年級")</f>
        <v>一年級</v>
      </c>
      <c r="G716" s="10" t="str">
        <f>IFERROR(__xludf.DUMMYFUNCTION("""COMPUTED_VALUE"""),"獎狀")</f>
        <v>獎狀</v>
      </c>
      <c r="H716" s="9"/>
    </row>
    <row r="717">
      <c r="A717" s="5" t="s">
        <v>9</v>
      </c>
      <c r="B717" s="9" t="str">
        <f>IFERROR(__xludf.DUMMYFUNCTION("""COMPUTED_VALUE"""),"潘O慧")</f>
        <v>潘O慧</v>
      </c>
      <c r="C717" s="9" t="str">
        <f>IFERROR(__xludf.DUMMYFUNCTION("""COMPUTED_VALUE"""),"pan*****p28@stu.chhs.hcc.edu.tw")</f>
        <v>pan*****p28@stu.chhs.hcc.edu.tw</v>
      </c>
      <c r="D717" s="9" t="str">
        <f>IFERROR(__xludf.DUMMYFUNCTION("""COMPUTED_VALUE"""),"新竹縣私立忠信高級中學")</f>
        <v>新竹縣私立忠信高級中學</v>
      </c>
      <c r="E717" s="9" t="str">
        <f>IFERROR(__xludf.DUMMYFUNCTION("""COMPUTED_VALUE"""),"普通科")</f>
        <v>普通科</v>
      </c>
      <c r="F717" s="9" t="str">
        <f>IFERROR(__xludf.DUMMYFUNCTION("""COMPUTED_VALUE"""),"一年級")</f>
        <v>一年級</v>
      </c>
      <c r="G717" s="10" t="str">
        <f>IFERROR(__xludf.DUMMYFUNCTION("""COMPUTED_VALUE"""),"■商品卡$200")</f>
        <v>■商品卡$200</v>
      </c>
      <c r="H717" s="9"/>
    </row>
    <row r="718">
      <c r="A718" s="5" t="s">
        <v>9</v>
      </c>
      <c r="B718" s="9" t="str">
        <f>IFERROR(__xludf.DUMMYFUNCTION("""COMPUTED_VALUE"""),"吳O萱")</f>
        <v>吳O萱</v>
      </c>
      <c r="C718" s="9" t="str">
        <f>IFERROR(__xludf.DUMMYFUNCTION("""COMPUTED_VALUE"""),"wuz*****28@stu.chhs.hcc.edu.tw")</f>
        <v>wuz*****28@stu.chhs.hcc.edu.tw</v>
      </c>
      <c r="D718" s="9" t="str">
        <f>IFERROR(__xludf.DUMMYFUNCTION("""COMPUTED_VALUE"""),"新竹縣私立忠信高級中學")</f>
        <v>新竹縣私立忠信高級中學</v>
      </c>
      <c r="E718" s="9" t="str">
        <f>IFERROR(__xludf.DUMMYFUNCTION("""COMPUTED_VALUE"""),"普通科")</f>
        <v>普通科</v>
      </c>
      <c r="F718" s="9" t="str">
        <f>IFERROR(__xludf.DUMMYFUNCTION("""COMPUTED_VALUE"""),"一年級")</f>
        <v>一年級</v>
      </c>
      <c r="G718" s="10" t="str">
        <f>IFERROR(__xludf.DUMMYFUNCTION("""COMPUTED_VALUE"""),"獎狀")</f>
        <v>獎狀</v>
      </c>
      <c r="H718" s="9"/>
    </row>
    <row r="719">
      <c r="A719" s="5" t="s">
        <v>9</v>
      </c>
      <c r="B719" s="9" t="str">
        <f>IFERROR(__xludf.DUMMYFUNCTION("""COMPUTED_VALUE"""),"林O融")</f>
        <v>林O融</v>
      </c>
      <c r="C719" s="9" t="str">
        <f>IFERROR(__xludf.DUMMYFUNCTION("""COMPUTED_VALUE"""),"lin*****p28@stu.chhs.hcc.edu.tw")</f>
        <v>lin*****p28@stu.chhs.hcc.edu.tw</v>
      </c>
      <c r="D719" s="9" t="str">
        <f>IFERROR(__xludf.DUMMYFUNCTION("""COMPUTED_VALUE"""),"新竹縣私立忠信高級中學")</f>
        <v>新竹縣私立忠信高級中學</v>
      </c>
      <c r="E719" s="9" t="str">
        <f>IFERROR(__xludf.DUMMYFUNCTION("""COMPUTED_VALUE"""),"普通科")</f>
        <v>普通科</v>
      </c>
      <c r="F719" s="9" t="str">
        <f>IFERROR(__xludf.DUMMYFUNCTION("""COMPUTED_VALUE"""),"一年級")</f>
        <v>一年級</v>
      </c>
      <c r="G719" s="10" t="str">
        <f>IFERROR(__xludf.DUMMYFUNCTION("""COMPUTED_VALUE"""),"獎狀")</f>
        <v>獎狀</v>
      </c>
      <c r="H719" s="9"/>
    </row>
    <row r="720">
      <c r="A720" s="5" t="s">
        <v>9</v>
      </c>
      <c r="B720" s="9" t="str">
        <f>IFERROR(__xludf.DUMMYFUNCTION("""COMPUTED_VALUE"""),"朱O豫")</f>
        <v>朱O豫</v>
      </c>
      <c r="C720" s="9" t="str">
        <f>IFERROR(__xludf.DUMMYFUNCTION("""COMPUTED_VALUE"""),"zhu*****p28@stu.chhs.hcc.edu.tw")</f>
        <v>zhu*****p28@stu.chhs.hcc.edu.tw</v>
      </c>
      <c r="D720" s="9" t="str">
        <f>IFERROR(__xludf.DUMMYFUNCTION("""COMPUTED_VALUE"""),"新竹縣私立忠信高級中學")</f>
        <v>新竹縣私立忠信高級中學</v>
      </c>
      <c r="E720" s="9" t="str">
        <f>IFERROR(__xludf.DUMMYFUNCTION("""COMPUTED_VALUE"""),"普通科")</f>
        <v>普通科</v>
      </c>
      <c r="F720" s="9" t="str">
        <f>IFERROR(__xludf.DUMMYFUNCTION("""COMPUTED_VALUE"""),"一年級")</f>
        <v>一年級</v>
      </c>
      <c r="G720" s="10" t="str">
        <f>IFERROR(__xludf.DUMMYFUNCTION("""COMPUTED_VALUE"""),"獎狀")</f>
        <v>獎狀</v>
      </c>
      <c r="H720" s="9"/>
    </row>
    <row r="721">
      <c r="A721" s="5" t="s">
        <v>9</v>
      </c>
      <c r="B721" s="9" t="str">
        <f>IFERROR(__xludf.DUMMYFUNCTION("""COMPUTED_VALUE"""),"郭O瑄")</f>
        <v>郭O瑄</v>
      </c>
      <c r="C721" s="9" t="str">
        <f>IFERROR(__xludf.DUMMYFUNCTION("""COMPUTED_VALUE"""),"guo*****p28@stu.chhs.hcc.edu.tw")</f>
        <v>guo*****p28@stu.chhs.hcc.edu.tw</v>
      </c>
      <c r="D721" s="9" t="str">
        <f>IFERROR(__xludf.DUMMYFUNCTION("""COMPUTED_VALUE"""),"新竹縣私立忠信高級中學")</f>
        <v>新竹縣私立忠信高級中學</v>
      </c>
      <c r="E721" s="9" t="str">
        <f>IFERROR(__xludf.DUMMYFUNCTION("""COMPUTED_VALUE"""),"普通科")</f>
        <v>普通科</v>
      </c>
      <c r="F721" s="9" t="str">
        <f>IFERROR(__xludf.DUMMYFUNCTION("""COMPUTED_VALUE"""),"一年級")</f>
        <v>一年級</v>
      </c>
      <c r="G721" s="10" t="str">
        <f>IFERROR(__xludf.DUMMYFUNCTION("""COMPUTED_VALUE"""),"★商品卡$1000")</f>
        <v>★商品卡$1000</v>
      </c>
      <c r="H721" s="9"/>
    </row>
    <row r="722">
      <c r="A722" s="5" t="s">
        <v>9</v>
      </c>
      <c r="B722" s="9" t="str">
        <f>IFERROR(__xludf.DUMMYFUNCTION("""COMPUTED_VALUE"""),"李O璘")</f>
        <v>李O璘</v>
      </c>
      <c r="C722" s="9" t="str">
        <f>IFERROR(__xludf.DUMMYFUNCTION("""COMPUTED_VALUE"""),"lic*****28@stu.chhs.hcc.edu.tw")</f>
        <v>lic*****28@stu.chhs.hcc.edu.tw</v>
      </c>
      <c r="D722" s="9" t="str">
        <f>IFERROR(__xludf.DUMMYFUNCTION("""COMPUTED_VALUE"""),"新竹縣私立忠信高級中學")</f>
        <v>新竹縣私立忠信高級中學</v>
      </c>
      <c r="E722" s="9" t="str">
        <f>IFERROR(__xludf.DUMMYFUNCTION("""COMPUTED_VALUE"""),"普通科")</f>
        <v>普通科</v>
      </c>
      <c r="F722" s="9" t="str">
        <f>IFERROR(__xludf.DUMMYFUNCTION("""COMPUTED_VALUE"""),"一年級")</f>
        <v>一年級</v>
      </c>
      <c r="G722" s="10" t="str">
        <f>IFERROR(__xludf.DUMMYFUNCTION("""COMPUTED_VALUE"""),"獎狀")</f>
        <v>獎狀</v>
      </c>
      <c r="H722" s="9"/>
    </row>
    <row r="723">
      <c r="A723" s="5" t="s">
        <v>9</v>
      </c>
      <c r="B723" s="9" t="str">
        <f>IFERROR(__xludf.DUMMYFUNCTION("""COMPUTED_VALUE"""),"李O萱")</f>
        <v>李O萱</v>
      </c>
      <c r="C723" s="9" t="str">
        <f>IFERROR(__xludf.DUMMYFUNCTION("""COMPUTED_VALUE"""),"liy*****28@stu.chhs.hcc.edu.tw")</f>
        <v>liy*****28@stu.chhs.hcc.edu.tw</v>
      </c>
      <c r="D723" s="9" t="str">
        <f>IFERROR(__xludf.DUMMYFUNCTION("""COMPUTED_VALUE"""),"新竹縣私立忠信高級中學")</f>
        <v>新竹縣私立忠信高級中學</v>
      </c>
      <c r="E723" s="9" t="str">
        <f>IFERROR(__xludf.DUMMYFUNCTION("""COMPUTED_VALUE"""),"普通科")</f>
        <v>普通科</v>
      </c>
      <c r="F723" s="9" t="str">
        <f>IFERROR(__xludf.DUMMYFUNCTION("""COMPUTED_VALUE"""),"一年級")</f>
        <v>一年級</v>
      </c>
      <c r="G723" s="10" t="str">
        <f>IFERROR(__xludf.DUMMYFUNCTION("""COMPUTED_VALUE"""),"獎狀")</f>
        <v>獎狀</v>
      </c>
      <c r="H723" s="9"/>
    </row>
    <row r="724">
      <c r="A724" s="5" t="s">
        <v>9</v>
      </c>
      <c r="B724" s="9" t="str">
        <f>IFERROR(__xludf.DUMMYFUNCTION("""COMPUTED_VALUE"""),"林O翰")</f>
        <v>林O翰</v>
      </c>
      <c r="C724" s="9" t="str">
        <f>IFERROR(__xludf.DUMMYFUNCTION("""COMPUTED_VALUE"""),"lin*****p28@stu.chhs.hcc.edu.tw")</f>
        <v>lin*****p28@stu.chhs.hcc.edu.tw</v>
      </c>
      <c r="D724" s="9" t="str">
        <f>IFERROR(__xludf.DUMMYFUNCTION("""COMPUTED_VALUE"""),"新竹縣私立忠信高級中學")</f>
        <v>新竹縣私立忠信高級中學</v>
      </c>
      <c r="E724" s="9" t="str">
        <f>IFERROR(__xludf.DUMMYFUNCTION("""COMPUTED_VALUE"""),"普通科")</f>
        <v>普通科</v>
      </c>
      <c r="F724" s="9" t="str">
        <f>IFERROR(__xludf.DUMMYFUNCTION("""COMPUTED_VALUE"""),"一年級")</f>
        <v>一年級</v>
      </c>
      <c r="G724" s="10" t="str">
        <f>IFERROR(__xludf.DUMMYFUNCTION("""COMPUTED_VALUE"""),"■商品卡$200")</f>
        <v>■商品卡$200</v>
      </c>
      <c r="H724" s="9"/>
    </row>
    <row r="725">
      <c r="A725" s="5" t="s">
        <v>9</v>
      </c>
      <c r="B725" s="9" t="str">
        <f>IFERROR(__xludf.DUMMYFUNCTION("""COMPUTED_VALUE"""),"陳O瑜")</f>
        <v>陳O瑜</v>
      </c>
      <c r="C725" s="9" t="str">
        <f>IFERROR(__xludf.DUMMYFUNCTION("""COMPUTED_VALUE"""),"che*****ip28@stu.chhs.hcc.edu.tw")</f>
        <v>che*****ip28@stu.chhs.hcc.edu.tw</v>
      </c>
      <c r="D725" s="9" t="str">
        <f>IFERROR(__xludf.DUMMYFUNCTION("""COMPUTED_VALUE"""),"新竹縣私立忠信高級中學")</f>
        <v>新竹縣私立忠信高級中學</v>
      </c>
      <c r="E725" s="9" t="str">
        <f>IFERROR(__xludf.DUMMYFUNCTION("""COMPUTED_VALUE"""),"普通科")</f>
        <v>普通科</v>
      </c>
      <c r="F725" s="9" t="str">
        <f>IFERROR(__xludf.DUMMYFUNCTION("""COMPUTED_VALUE"""),"一年級")</f>
        <v>一年級</v>
      </c>
      <c r="G725" s="10" t="str">
        <f>IFERROR(__xludf.DUMMYFUNCTION("""COMPUTED_VALUE"""),"獎狀")</f>
        <v>獎狀</v>
      </c>
      <c r="H725" s="9"/>
    </row>
    <row r="726">
      <c r="A726" s="5" t="s">
        <v>9</v>
      </c>
      <c r="B726" s="9" t="str">
        <f>IFERROR(__xludf.DUMMYFUNCTION("""COMPUTED_VALUE"""),"劉O翔")</f>
        <v>劉O翔</v>
      </c>
      <c r="C726" s="9" t="str">
        <f>IFERROR(__xludf.DUMMYFUNCTION("""COMPUTED_VALUE"""),"liu*****p28@stu.chhs.hcc.edu.tw")</f>
        <v>liu*****p28@stu.chhs.hcc.edu.tw</v>
      </c>
      <c r="D726" s="9" t="str">
        <f>IFERROR(__xludf.DUMMYFUNCTION("""COMPUTED_VALUE"""),"新竹縣私立忠信高級中學")</f>
        <v>新竹縣私立忠信高級中學</v>
      </c>
      <c r="E726" s="9" t="str">
        <f>IFERROR(__xludf.DUMMYFUNCTION("""COMPUTED_VALUE"""),"普通科")</f>
        <v>普通科</v>
      </c>
      <c r="F726" s="9" t="str">
        <f>IFERROR(__xludf.DUMMYFUNCTION("""COMPUTED_VALUE"""),"一年級")</f>
        <v>一年級</v>
      </c>
      <c r="G726" s="10" t="str">
        <f>IFERROR(__xludf.DUMMYFUNCTION("""COMPUTED_VALUE"""),"獎狀")</f>
        <v>獎狀</v>
      </c>
      <c r="H726" s="9"/>
    </row>
    <row r="727">
      <c r="A727" s="5" t="s">
        <v>9</v>
      </c>
      <c r="B727" s="9" t="str">
        <f>IFERROR(__xludf.DUMMYFUNCTION("""COMPUTED_VALUE"""),"黃O")</f>
        <v>黃O</v>
      </c>
      <c r="C727" s="9" t="str">
        <f>IFERROR(__xludf.DUMMYFUNCTION("""COMPUTED_VALUE"""),"hua*****ip28@stu.chhs.hcc.edu.tw")</f>
        <v>hua*****ip28@stu.chhs.hcc.edu.tw</v>
      </c>
      <c r="D727" s="9" t="str">
        <f>IFERROR(__xludf.DUMMYFUNCTION("""COMPUTED_VALUE"""),"新竹縣私立忠信高級中學")</f>
        <v>新竹縣私立忠信高級中學</v>
      </c>
      <c r="E727" s="9" t="str">
        <f>IFERROR(__xludf.DUMMYFUNCTION("""COMPUTED_VALUE"""),"普通科")</f>
        <v>普通科</v>
      </c>
      <c r="F727" s="9" t="str">
        <f>IFERROR(__xludf.DUMMYFUNCTION("""COMPUTED_VALUE"""),"一年級")</f>
        <v>一年級</v>
      </c>
      <c r="G727" s="10" t="str">
        <f>IFERROR(__xludf.DUMMYFUNCTION("""COMPUTED_VALUE"""),"獎狀")</f>
        <v>獎狀</v>
      </c>
      <c r="H727" s="9"/>
    </row>
    <row r="728">
      <c r="A728" s="5" t="s">
        <v>9</v>
      </c>
      <c r="B728" s="9" t="str">
        <f>IFERROR(__xludf.DUMMYFUNCTION("""COMPUTED_VALUE"""),"周O澄")</f>
        <v>周O澄</v>
      </c>
      <c r="C728" s="9" t="str">
        <f>IFERROR(__xludf.DUMMYFUNCTION("""COMPUTED_VALUE"""),"zho*****ip28@stu.chhs.hcc.edu.tw")</f>
        <v>zho*****ip28@stu.chhs.hcc.edu.tw</v>
      </c>
      <c r="D728" s="9" t="str">
        <f>IFERROR(__xludf.DUMMYFUNCTION("""COMPUTED_VALUE"""),"新竹縣私立忠信高級中學")</f>
        <v>新竹縣私立忠信高級中學</v>
      </c>
      <c r="E728" s="9" t="str">
        <f>IFERROR(__xludf.DUMMYFUNCTION("""COMPUTED_VALUE"""),"普通科")</f>
        <v>普通科</v>
      </c>
      <c r="F728" s="9" t="str">
        <f>IFERROR(__xludf.DUMMYFUNCTION("""COMPUTED_VALUE"""),"一年級")</f>
        <v>一年級</v>
      </c>
      <c r="G728" s="10" t="str">
        <f>IFERROR(__xludf.DUMMYFUNCTION("""COMPUTED_VALUE"""),"獎狀")</f>
        <v>獎狀</v>
      </c>
      <c r="H728" s="9"/>
    </row>
    <row r="729">
      <c r="A729" s="5" t="s">
        <v>9</v>
      </c>
      <c r="B729" s="9" t="str">
        <f>IFERROR(__xludf.DUMMYFUNCTION("""COMPUTED_VALUE"""),"李O生")</f>
        <v>李O生</v>
      </c>
      <c r="C729" s="9" t="str">
        <f>IFERROR(__xludf.DUMMYFUNCTION("""COMPUTED_VALUE"""),"lib*****28@stu.chhs.hcc.edu.tw")</f>
        <v>lib*****28@stu.chhs.hcc.edu.tw</v>
      </c>
      <c r="D729" s="9" t="str">
        <f>IFERROR(__xludf.DUMMYFUNCTION("""COMPUTED_VALUE"""),"新竹縣私立忠信高級中學")</f>
        <v>新竹縣私立忠信高級中學</v>
      </c>
      <c r="E729" s="9" t="str">
        <f>IFERROR(__xludf.DUMMYFUNCTION("""COMPUTED_VALUE"""),"普通科")</f>
        <v>普通科</v>
      </c>
      <c r="F729" s="9" t="str">
        <f>IFERROR(__xludf.DUMMYFUNCTION("""COMPUTED_VALUE"""),"一年級")</f>
        <v>一年級</v>
      </c>
      <c r="G729" s="10" t="str">
        <f>IFERROR(__xludf.DUMMYFUNCTION("""COMPUTED_VALUE"""),"獎狀")</f>
        <v>獎狀</v>
      </c>
      <c r="H729" s="9"/>
    </row>
    <row r="730">
      <c r="A730" s="5" t="s">
        <v>9</v>
      </c>
      <c r="B730" s="9" t="str">
        <f>IFERROR(__xludf.DUMMYFUNCTION("""COMPUTED_VALUE"""),"張O甫")</f>
        <v>張O甫</v>
      </c>
      <c r="C730" s="9" t="str">
        <f>IFERROR(__xludf.DUMMYFUNCTION("""COMPUTED_VALUE"""),"zha*****lip28@stu.chhs.hcc.edu.tw")</f>
        <v>zha*****lip28@stu.chhs.hcc.edu.tw</v>
      </c>
      <c r="D730" s="9" t="str">
        <f>IFERROR(__xludf.DUMMYFUNCTION("""COMPUTED_VALUE"""),"新竹縣私立忠信高級中學")</f>
        <v>新竹縣私立忠信高級中學</v>
      </c>
      <c r="E730" s="9" t="str">
        <f>IFERROR(__xludf.DUMMYFUNCTION("""COMPUTED_VALUE"""),"普通科")</f>
        <v>普通科</v>
      </c>
      <c r="F730" s="9" t="str">
        <f>IFERROR(__xludf.DUMMYFUNCTION("""COMPUTED_VALUE"""),"一年級")</f>
        <v>一年級</v>
      </c>
      <c r="G730" s="10" t="str">
        <f>IFERROR(__xludf.DUMMYFUNCTION("""COMPUTED_VALUE"""),"獎狀")</f>
        <v>獎狀</v>
      </c>
      <c r="H730" s="9"/>
    </row>
    <row r="731">
      <c r="A731" s="5" t="s">
        <v>9</v>
      </c>
      <c r="B731" s="9" t="str">
        <f>IFERROR(__xludf.DUMMYFUNCTION("""COMPUTED_VALUE"""),"曾O軒")</f>
        <v>曾O軒</v>
      </c>
      <c r="C731" s="9" t="str">
        <f>IFERROR(__xludf.DUMMYFUNCTION("""COMPUTED_VALUE"""),"zen*****ip28@stu.chhs.hcc.edu.tw")</f>
        <v>zen*****ip28@stu.chhs.hcc.edu.tw</v>
      </c>
      <c r="D731" s="9" t="str">
        <f>IFERROR(__xludf.DUMMYFUNCTION("""COMPUTED_VALUE"""),"新竹縣私立忠信高級中學")</f>
        <v>新竹縣私立忠信高級中學</v>
      </c>
      <c r="E731" s="9" t="str">
        <f>IFERROR(__xludf.DUMMYFUNCTION("""COMPUTED_VALUE"""),"普通科")</f>
        <v>普通科</v>
      </c>
      <c r="F731" s="9" t="str">
        <f>IFERROR(__xludf.DUMMYFUNCTION("""COMPUTED_VALUE"""),"一年級")</f>
        <v>一年級</v>
      </c>
      <c r="G731" s="10" t="str">
        <f>IFERROR(__xludf.DUMMYFUNCTION("""COMPUTED_VALUE"""),"獎狀")</f>
        <v>獎狀</v>
      </c>
      <c r="H731" s="9"/>
    </row>
    <row r="732">
      <c r="A732" s="5" t="s">
        <v>9</v>
      </c>
      <c r="B732" s="9" t="str">
        <f>IFERROR(__xludf.DUMMYFUNCTION("""COMPUTED_VALUE"""),"朱O騏")</f>
        <v>朱O騏</v>
      </c>
      <c r="C732" s="9" t="str">
        <f>IFERROR(__xludf.DUMMYFUNCTION("""COMPUTED_VALUE"""),"zhu*****p28@stu.chhs.hcc.edu.tw")</f>
        <v>zhu*****p28@stu.chhs.hcc.edu.tw</v>
      </c>
      <c r="D732" s="9" t="str">
        <f>IFERROR(__xludf.DUMMYFUNCTION("""COMPUTED_VALUE"""),"新竹縣私立忠信高級中學")</f>
        <v>新竹縣私立忠信高級中學</v>
      </c>
      <c r="E732" s="9" t="str">
        <f>IFERROR(__xludf.DUMMYFUNCTION("""COMPUTED_VALUE"""),"普通科")</f>
        <v>普通科</v>
      </c>
      <c r="F732" s="9" t="str">
        <f>IFERROR(__xludf.DUMMYFUNCTION("""COMPUTED_VALUE"""),"一年級")</f>
        <v>一年級</v>
      </c>
      <c r="G732" s="10" t="str">
        <f>IFERROR(__xludf.DUMMYFUNCTION("""COMPUTED_VALUE"""),"獎狀")</f>
        <v>獎狀</v>
      </c>
      <c r="H732" s="9"/>
    </row>
    <row r="733">
      <c r="A733" s="5" t="s">
        <v>9</v>
      </c>
      <c r="B733" s="9" t="str">
        <f>IFERROR(__xludf.DUMMYFUNCTION("""COMPUTED_VALUE"""),"林O道")</f>
        <v>林O道</v>
      </c>
      <c r="C733" s="9" t="str">
        <f>IFERROR(__xludf.DUMMYFUNCTION("""COMPUTED_VALUE"""),"lin*****p28@stu.chhs.hcc.edu.tw")</f>
        <v>lin*****p28@stu.chhs.hcc.edu.tw</v>
      </c>
      <c r="D733" s="9" t="str">
        <f>IFERROR(__xludf.DUMMYFUNCTION("""COMPUTED_VALUE"""),"新竹縣私立忠信高級中學")</f>
        <v>新竹縣私立忠信高級中學</v>
      </c>
      <c r="E733" s="9" t="str">
        <f>IFERROR(__xludf.DUMMYFUNCTION("""COMPUTED_VALUE"""),"普通科")</f>
        <v>普通科</v>
      </c>
      <c r="F733" s="9" t="str">
        <f>IFERROR(__xludf.DUMMYFUNCTION("""COMPUTED_VALUE"""),"一年級")</f>
        <v>一年級</v>
      </c>
      <c r="G733" s="10" t="str">
        <f>IFERROR(__xludf.DUMMYFUNCTION("""COMPUTED_VALUE"""),"獎狀")</f>
        <v>獎狀</v>
      </c>
      <c r="H733" s="9"/>
    </row>
    <row r="734">
      <c r="A734" s="5" t="s">
        <v>9</v>
      </c>
      <c r="B734" s="9" t="str">
        <f>IFERROR(__xludf.DUMMYFUNCTION("""COMPUTED_VALUE"""),"許O")</f>
        <v>許O</v>
      </c>
      <c r="C734" s="9" t="str">
        <f>IFERROR(__xludf.DUMMYFUNCTION("""COMPUTED_VALUE"""),"xur*****8@stu.chhs.hcc.edu.tw")</f>
        <v>xur*****8@stu.chhs.hcc.edu.tw</v>
      </c>
      <c r="D734" s="9" t="str">
        <f>IFERROR(__xludf.DUMMYFUNCTION("""COMPUTED_VALUE"""),"新竹縣私立忠信高級中學")</f>
        <v>新竹縣私立忠信高級中學</v>
      </c>
      <c r="E734" s="9" t="str">
        <f>IFERROR(__xludf.DUMMYFUNCTION("""COMPUTED_VALUE"""),"普通科")</f>
        <v>普通科</v>
      </c>
      <c r="F734" s="9" t="str">
        <f>IFERROR(__xludf.DUMMYFUNCTION("""COMPUTED_VALUE"""),"一年級")</f>
        <v>一年級</v>
      </c>
      <c r="G734" s="10" t="str">
        <f>IFERROR(__xludf.DUMMYFUNCTION("""COMPUTED_VALUE"""),"★商品卡$1000")</f>
        <v>★商品卡$1000</v>
      </c>
      <c r="H734" s="9"/>
    </row>
    <row r="735">
      <c r="A735" s="5" t="s">
        <v>9</v>
      </c>
      <c r="B735" s="9" t="str">
        <f>IFERROR(__xludf.DUMMYFUNCTION("""COMPUTED_VALUE"""),"彭O瑜")</f>
        <v>彭O瑜</v>
      </c>
      <c r="C735" s="9" t="str">
        <f>IFERROR(__xludf.DUMMYFUNCTION("""COMPUTED_VALUE"""),"pen*****ip28@stu.chhs.hcc.edu.tw")</f>
        <v>pen*****ip28@stu.chhs.hcc.edu.tw</v>
      </c>
      <c r="D735" s="9" t="str">
        <f>IFERROR(__xludf.DUMMYFUNCTION("""COMPUTED_VALUE"""),"新竹縣私立忠信高級中學")</f>
        <v>新竹縣私立忠信高級中學</v>
      </c>
      <c r="E735" s="9" t="str">
        <f>IFERROR(__xludf.DUMMYFUNCTION("""COMPUTED_VALUE"""),"普通科")</f>
        <v>普通科</v>
      </c>
      <c r="F735" s="9" t="str">
        <f>IFERROR(__xludf.DUMMYFUNCTION("""COMPUTED_VALUE"""),"一年級")</f>
        <v>一年級</v>
      </c>
      <c r="G735" s="10" t="str">
        <f>IFERROR(__xludf.DUMMYFUNCTION("""COMPUTED_VALUE"""),"獎狀")</f>
        <v>獎狀</v>
      </c>
      <c r="H735" s="9"/>
    </row>
    <row r="736">
      <c r="A736" s="5" t="s">
        <v>9</v>
      </c>
      <c r="B736" s="9" t="str">
        <f>IFERROR(__xludf.DUMMYFUNCTION("""COMPUTED_VALUE"""),"曾O錞")</f>
        <v>曾O錞</v>
      </c>
      <c r="C736" s="9" t="str">
        <f>IFERROR(__xludf.DUMMYFUNCTION("""COMPUTED_VALUE"""),"zen*****ip28@stu.chhs.hcc.edu.tw")</f>
        <v>zen*****ip28@stu.chhs.hcc.edu.tw</v>
      </c>
      <c r="D736" s="9" t="str">
        <f>IFERROR(__xludf.DUMMYFUNCTION("""COMPUTED_VALUE"""),"新竹縣私立忠信高級中學")</f>
        <v>新竹縣私立忠信高級中學</v>
      </c>
      <c r="E736" s="9" t="str">
        <f>IFERROR(__xludf.DUMMYFUNCTION("""COMPUTED_VALUE"""),"普通科")</f>
        <v>普通科</v>
      </c>
      <c r="F736" s="9" t="str">
        <f>IFERROR(__xludf.DUMMYFUNCTION("""COMPUTED_VALUE"""),"一年級")</f>
        <v>一年級</v>
      </c>
      <c r="G736" s="10" t="str">
        <f>IFERROR(__xludf.DUMMYFUNCTION("""COMPUTED_VALUE"""),"○商品卡$500")</f>
        <v>○商品卡$500</v>
      </c>
      <c r="H736" s="9"/>
    </row>
    <row r="737">
      <c r="A737" s="5" t="s">
        <v>9</v>
      </c>
      <c r="B737" s="9" t="str">
        <f>IFERROR(__xludf.DUMMYFUNCTION("""COMPUTED_VALUE"""),"黃O茹")</f>
        <v>黃O茹</v>
      </c>
      <c r="C737" s="9" t="str">
        <f>IFERROR(__xludf.DUMMYFUNCTION("""COMPUTED_VALUE"""),"st3*****@khvs.hcc.edu.tw")</f>
        <v>st3*****@khvs.hcc.edu.tw</v>
      </c>
      <c r="D737" s="9" t="str">
        <f>IFERROR(__xludf.DUMMYFUNCTION("""COMPUTED_VALUE"""),"國立關西高級中學")</f>
        <v>國立關西高級中學</v>
      </c>
      <c r="E737" s="9" t="str">
        <f>IFERROR(__xludf.DUMMYFUNCTION("""COMPUTED_VALUE"""),"普通科")</f>
        <v>普通科</v>
      </c>
      <c r="F737" s="9" t="str">
        <f>IFERROR(__xludf.DUMMYFUNCTION("""COMPUTED_VALUE"""),"一年級")</f>
        <v>一年級</v>
      </c>
      <c r="G737" s="10" t="str">
        <f>IFERROR(__xludf.DUMMYFUNCTION("""COMPUTED_VALUE"""),"獎狀")</f>
        <v>獎狀</v>
      </c>
      <c r="H737" s="9"/>
    </row>
    <row r="738">
      <c r="A738" s="5" t="s">
        <v>9</v>
      </c>
      <c r="B738" s="9" t="str">
        <f>IFERROR(__xludf.DUMMYFUNCTION("""COMPUTED_VALUE"""),"徐O芸")</f>
        <v>徐O芸</v>
      </c>
      <c r="C738" s="9" t="str">
        <f>IFERROR(__xludf.DUMMYFUNCTION("""COMPUTED_VALUE"""),"st3*****@khvs.hcc.edu.tw")</f>
        <v>st3*****@khvs.hcc.edu.tw</v>
      </c>
      <c r="D738" s="9" t="str">
        <f>IFERROR(__xludf.DUMMYFUNCTION("""COMPUTED_VALUE"""),"國立關西高級中學")</f>
        <v>國立關西高級中學</v>
      </c>
      <c r="E738" s="9" t="str">
        <f>IFERROR(__xludf.DUMMYFUNCTION("""COMPUTED_VALUE"""),"普通科")</f>
        <v>普通科</v>
      </c>
      <c r="F738" s="9" t="str">
        <f>IFERROR(__xludf.DUMMYFUNCTION("""COMPUTED_VALUE"""),"一年級")</f>
        <v>一年級</v>
      </c>
      <c r="G738" s="10" t="str">
        <f>IFERROR(__xludf.DUMMYFUNCTION("""COMPUTED_VALUE"""),"獎狀")</f>
        <v>獎狀</v>
      </c>
      <c r="H738" s="9"/>
    </row>
    <row r="739">
      <c r="A739" s="5" t="s">
        <v>9</v>
      </c>
      <c r="B739" s="9" t="str">
        <f>IFERROR(__xludf.DUMMYFUNCTION("""COMPUTED_VALUE"""),"陳O明")</f>
        <v>陳O明</v>
      </c>
      <c r="C739" s="9" t="str">
        <f>IFERROR(__xludf.DUMMYFUNCTION("""COMPUTED_VALUE"""),"st3*****@khvs.hcc.edu.tw")</f>
        <v>st3*****@khvs.hcc.edu.tw</v>
      </c>
      <c r="D739" s="9" t="str">
        <f>IFERROR(__xludf.DUMMYFUNCTION("""COMPUTED_VALUE"""),"國立關西高級中學")</f>
        <v>國立關西高級中學</v>
      </c>
      <c r="E739" s="9" t="str">
        <f>IFERROR(__xludf.DUMMYFUNCTION("""COMPUTED_VALUE"""),"普通科")</f>
        <v>普通科</v>
      </c>
      <c r="F739" s="9" t="str">
        <f>IFERROR(__xludf.DUMMYFUNCTION("""COMPUTED_VALUE"""),"一年級")</f>
        <v>一年級</v>
      </c>
      <c r="G739" s="10" t="str">
        <f>IFERROR(__xludf.DUMMYFUNCTION("""COMPUTED_VALUE"""),"★商品卡$1000")</f>
        <v>★商品卡$1000</v>
      </c>
      <c r="H739" s="9"/>
    </row>
    <row r="740">
      <c r="A740" s="5" t="s">
        <v>9</v>
      </c>
      <c r="B740" s="9" t="str">
        <f>IFERROR(__xludf.DUMMYFUNCTION("""COMPUTED_VALUE"""),"巫O城")</f>
        <v>巫O城</v>
      </c>
      <c r="C740" s="9" t="str">
        <f>IFERROR(__xludf.DUMMYFUNCTION("""COMPUTED_VALUE"""),"st3*****@khvs.hcc.edu.tw")</f>
        <v>st3*****@khvs.hcc.edu.tw</v>
      </c>
      <c r="D740" s="9" t="str">
        <f>IFERROR(__xludf.DUMMYFUNCTION("""COMPUTED_VALUE"""),"國立關西高級中學")</f>
        <v>國立關西高級中學</v>
      </c>
      <c r="E740" s="9" t="str">
        <f>IFERROR(__xludf.DUMMYFUNCTION("""COMPUTED_VALUE"""),"普通科")</f>
        <v>普通科</v>
      </c>
      <c r="F740" s="9" t="str">
        <f>IFERROR(__xludf.DUMMYFUNCTION("""COMPUTED_VALUE"""),"一年級")</f>
        <v>一年級</v>
      </c>
      <c r="G740" s="10" t="str">
        <f>IFERROR(__xludf.DUMMYFUNCTION("""COMPUTED_VALUE"""),"獎狀")</f>
        <v>獎狀</v>
      </c>
      <c r="H740" s="9"/>
    </row>
    <row r="741">
      <c r="A741" s="5" t="s">
        <v>9</v>
      </c>
      <c r="B741" s="9" t="str">
        <f>IFERROR(__xludf.DUMMYFUNCTION("""COMPUTED_VALUE"""),"連O恩")</f>
        <v>連O恩</v>
      </c>
      <c r="C741" s="9" t="str">
        <f>IFERROR(__xludf.DUMMYFUNCTION("""COMPUTED_VALUE"""),"st3*****@khvs.hcc.edu.tw")</f>
        <v>st3*****@khvs.hcc.edu.tw</v>
      </c>
      <c r="D741" s="9" t="str">
        <f>IFERROR(__xludf.DUMMYFUNCTION("""COMPUTED_VALUE"""),"國立關西高級中學")</f>
        <v>國立關西高級中學</v>
      </c>
      <c r="E741" s="9" t="str">
        <f>IFERROR(__xludf.DUMMYFUNCTION("""COMPUTED_VALUE"""),"普通科")</f>
        <v>普通科</v>
      </c>
      <c r="F741" s="9" t="str">
        <f>IFERROR(__xludf.DUMMYFUNCTION("""COMPUTED_VALUE"""),"一年級")</f>
        <v>一年級</v>
      </c>
      <c r="G741" s="10" t="str">
        <f>IFERROR(__xludf.DUMMYFUNCTION("""COMPUTED_VALUE"""),"★商品卡$1000")</f>
        <v>★商品卡$1000</v>
      </c>
      <c r="H741" s="9"/>
    </row>
    <row r="742">
      <c r="A742" s="5" t="s">
        <v>9</v>
      </c>
      <c r="B742" s="9" t="str">
        <f>IFERROR(__xludf.DUMMYFUNCTION("""COMPUTED_VALUE"""),"范O庭")</f>
        <v>范O庭</v>
      </c>
      <c r="C742" s="9" t="str">
        <f>IFERROR(__xludf.DUMMYFUNCTION("""COMPUTED_VALUE"""),"st3*****@khvs.hcc.edu.tw")</f>
        <v>st3*****@khvs.hcc.edu.tw</v>
      </c>
      <c r="D742" s="9" t="str">
        <f>IFERROR(__xludf.DUMMYFUNCTION("""COMPUTED_VALUE"""),"國立關西高級中學")</f>
        <v>國立關西高級中學</v>
      </c>
      <c r="E742" s="9" t="str">
        <f>IFERROR(__xludf.DUMMYFUNCTION("""COMPUTED_VALUE"""),"普通科")</f>
        <v>普通科</v>
      </c>
      <c r="F742" s="9" t="str">
        <f>IFERROR(__xludf.DUMMYFUNCTION("""COMPUTED_VALUE"""),"一年級")</f>
        <v>一年級</v>
      </c>
      <c r="G742" s="10" t="str">
        <f>IFERROR(__xludf.DUMMYFUNCTION("""COMPUTED_VALUE"""),"獎狀")</f>
        <v>獎狀</v>
      </c>
      <c r="H742" s="9"/>
    </row>
    <row r="743">
      <c r="A743" s="5" t="s">
        <v>9</v>
      </c>
      <c r="B743" s="9" t="str">
        <f>IFERROR(__xludf.DUMMYFUNCTION("""COMPUTED_VALUE"""),"劉O宥")</f>
        <v>劉O宥</v>
      </c>
      <c r="C743" s="9" t="str">
        <f>IFERROR(__xludf.DUMMYFUNCTION("""COMPUTED_VALUE"""),"st3*****@khvs.hcc.edu.tw")</f>
        <v>st3*****@khvs.hcc.edu.tw</v>
      </c>
      <c r="D743" s="9" t="str">
        <f>IFERROR(__xludf.DUMMYFUNCTION("""COMPUTED_VALUE"""),"國立關西高級中學")</f>
        <v>國立關西高級中學</v>
      </c>
      <c r="E743" s="9" t="str">
        <f>IFERROR(__xludf.DUMMYFUNCTION("""COMPUTED_VALUE"""),"普通科")</f>
        <v>普通科</v>
      </c>
      <c r="F743" s="9" t="str">
        <f>IFERROR(__xludf.DUMMYFUNCTION("""COMPUTED_VALUE"""),"一年級")</f>
        <v>一年級</v>
      </c>
      <c r="G743" s="10" t="str">
        <f>IFERROR(__xludf.DUMMYFUNCTION("""COMPUTED_VALUE"""),"獎狀")</f>
        <v>獎狀</v>
      </c>
      <c r="H743" s="9"/>
    </row>
    <row r="744">
      <c r="A744" s="5" t="s">
        <v>9</v>
      </c>
      <c r="B744" s="9" t="str">
        <f>IFERROR(__xludf.DUMMYFUNCTION("""COMPUTED_VALUE"""),"賴O宏")</f>
        <v>賴O宏</v>
      </c>
      <c r="C744" s="9" t="str">
        <f>IFERROR(__xludf.DUMMYFUNCTION("""COMPUTED_VALUE"""),"st3*****@khvs.hcc.edu.tw")</f>
        <v>st3*****@khvs.hcc.edu.tw</v>
      </c>
      <c r="D744" s="9" t="str">
        <f>IFERROR(__xludf.DUMMYFUNCTION("""COMPUTED_VALUE"""),"國立關西高級中學")</f>
        <v>國立關西高級中學</v>
      </c>
      <c r="E744" s="9" t="str">
        <f>IFERROR(__xludf.DUMMYFUNCTION("""COMPUTED_VALUE"""),"普通科")</f>
        <v>普通科</v>
      </c>
      <c r="F744" s="9" t="str">
        <f>IFERROR(__xludf.DUMMYFUNCTION("""COMPUTED_VALUE"""),"一年級")</f>
        <v>一年級</v>
      </c>
      <c r="G744" s="10" t="str">
        <f>IFERROR(__xludf.DUMMYFUNCTION("""COMPUTED_VALUE"""),"★商品卡$1000")</f>
        <v>★商品卡$1000</v>
      </c>
      <c r="H744" s="9"/>
    </row>
    <row r="745">
      <c r="A745" s="5" t="s">
        <v>9</v>
      </c>
      <c r="B745" s="9" t="str">
        <f>IFERROR(__xludf.DUMMYFUNCTION("""COMPUTED_VALUE"""),"楊O萱")</f>
        <v>楊O萱</v>
      </c>
      <c r="C745" s="9" t="str">
        <f>IFERROR(__xludf.DUMMYFUNCTION("""COMPUTED_VALUE"""),"st3*****@khvs.hcc.edu.tw")</f>
        <v>st3*****@khvs.hcc.edu.tw</v>
      </c>
      <c r="D745" s="9" t="str">
        <f>IFERROR(__xludf.DUMMYFUNCTION("""COMPUTED_VALUE"""),"國立關西高級中學")</f>
        <v>國立關西高級中學</v>
      </c>
      <c r="E745" s="9" t="str">
        <f>IFERROR(__xludf.DUMMYFUNCTION("""COMPUTED_VALUE"""),"普通科")</f>
        <v>普通科</v>
      </c>
      <c r="F745" s="9" t="str">
        <f>IFERROR(__xludf.DUMMYFUNCTION("""COMPUTED_VALUE"""),"一年級")</f>
        <v>一年級</v>
      </c>
      <c r="G745" s="10" t="str">
        <f>IFERROR(__xludf.DUMMYFUNCTION("""COMPUTED_VALUE"""),"獎狀")</f>
        <v>獎狀</v>
      </c>
      <c r="H745" s="11"/>
    </row>
    <row r="746">
      <c r="A746" s="5" t="s">
        <v>9</v>
      </c>
      <c r="B746" s="9" t="str">
        <f>IFERROR(__xludf.DUMMYFUNCTION("""COMPUTED_VALUE"""),"馬O安")</f>
        <v>馬O安</v>
      </c>
      <c r="C746" s="9" t="str">
        <f>IFERROR(__xludf.DUMMYFUNCTION("""COMPUTED_VALUE"""),"s31*****stu.ctsh.hcc.edu.tw")</f>
        <v>s31*****stu.ctsh.hcc.edu.tw</v>
      </c>
      <c r="D746" s="9" t="str">
        <f>IFERROR(__xludf.DUMMYFUNCTION("""COMPUTED_VALUE"""),"國立竹東高級中學")</f>
        <v>國立竹東高級中學</v>
      </c>
      <c r="E746" s="9" t="str">
        <f>IFERROR(__xludf.DUMMYFUNCTION("""COMPUTED_VALUE"""),"普通科")</f>
        <v>普通科</v>
      </c>
      <c r="F746" s="9" t="str">
        <f>IFERROR(__xludf.DUMMYFUNCTION("""COMPUTED_VALUE"""),"二年級")</f>
        <v>二年級</v>
      </c>
      <c r="G746" s="10" t="str">
        <f>IFERROR(__xludf.DUMMYFUNCTION("""COMPUTED_VALUE"""),"獎狀")</f>
        <v>獎狀</v>
      </c>
      <c r="H746" s="11"/>
    </row>
    <row r="747">
      <c r="A747" s="5" t="s">
        <v>9</v>
      </c>
      <c r="B747" s="9" t="str">
        <f>IFERROR(__xludf.DUMMYFUNCTION("""COMPUTED_VALUE"""),"范O豪")</f>
        <v>范O豪</v>
      </c>
      <c r="C747" s="9" t="str">
        <f>IFERROR(__xludf.DUMMYFUNCTION("""COMPUTED_VALUE"""),"s31*****student.clhs.tyc.edu.tw")</f>
        <v>s31*****student.clhs.tyc.edu.tw</v>
      </c>
      <c r="D747" s="9" t="str">
        <f>IFERROR(__xludf.DUMMYFUNCTION("""COMPUTED_VALUE"""),"國立中央大學附屬中壢高級中學")</f>
        <v>國立中央大學附屬中壢高級中學</v>
      </c>
      <c r="E747" s="9" t="str">
        <f>IFERROR(__xludf.DUMMYFUNCTION("""COMPUTED_VALUE"""),"普通科")</f>
        <v>普通科</v>
      </c>
      <c r="F747" s="9" t="str">
        <f>IFERROR(__xludf.DUMMYFUNCTION("""COMPUTED_VALUE"""),"二年級")</f>
        <v>二年級</v>
      </c>
      <c r="G747" s="10" t="str">
        <f>IFERROR(__xludf.DUMMYFUNCTION("""COMPUTED_VALUE"""),"■商品卡$200")</f>
        <v>■商品卡$200</v>
      </c>
      <c r="H747" s="9"/>
    </row>
    <row r="748">
      <c r="A748" s="5" t="s">
        <v>9</v>
      </c>
      <c r="B748" s="9" t="str">
        <f>IFERROR(__xludf.DUMMYFUNCTION("""COMPUTED_VALUE"""),"蔡O渝")</f>
        <v>蔡O渝</v>
      </c>
      <c r="C748" s="9" t="str">
        <f>IFERROR(__xludf.DUMMYFUNCTION("""COMPUTED_VALUE"""),"syt*****@gmail.com")</f>
        <v>syt*****@gmail.com</v>
      </c>
      <c r="D748" s="9" t="str">
        <f>IFERROR(__xludf.DUMMYFUNCTION("""COMPUTED_VALUE"""),"國立中央大學附屬中壢高級中學")</f>
        <v>國立中央大學附屬中壢高級中學</v>
      </c>
      <c r="E748" s="9" t="str">
        <f>IFERROR(__xludf.DUMMYFUNCTION("""COMPUTED_VALUE"""),"普通科")</f>
        <v>普通科</v>
      </c>
      <c r="F748" s="9" t="str">
        <f>IFERROR(__xludf.DUMMYFUNCTION("""COMPUTED_VALUE"""),"二年級")</f>
        <v>二年級</v>
      </c>
      <c r="G748" s="10" t="str">
        <f>IFERROR(__xludf.DUMMYFUNCTION("""COMPUTED_VALUE"""),"獎狀")</f>
        <v>獎狀</v>
      </c>
      <c r="H748" s="9"/>
    </row>
    <row r="749">
      <c r="A749" s="5" t="s">
        <v>9</v>
      </c>
      <c r="B749" s="9" t="str">
        <f>IFERROR(__xludf.DUMMYFUNCTION("""COMPUTED_VALUE"""),"陳O卉")</f>
        <v>陳O卉</v>
      </c>
      <c r="C749" s="9" t="str">
        <f>IFERROR(__xludf.DUMMYFUNCTION("""COMPUTED_VALUE"""),"abh*****@gmail.com")</f>
        <v>abh*****@gmail.com</v>
      </c>
      <c r="D749" s="9" t="str">
        <f>IFERROR(__xludf.DUMMYFUNCTION("""COMPUTED_VALUE"""),"啟英學校財團法人桃園市啟英高級中等學校")</f>
        <v>啟英學校財團法人桃園市啟英高級中等學校</v>
      </c>
      <c r="E749" s="9" t="str">
        <f>IFERROR(__xludf.DUMMYFUNCTION("""COMPUTED_VALUE"""),"普通科")</f>
        <v>普通科</v>
      </c>
      <c r="F749" s="9" t="str">
        <f>IFERROR(__xludf.DUMMYFUNCTION("""COMPUTED_VALUE"""),"二年級")</f>
        <v>二年級</v>
      </c>
      <c r="G749" s="10" t="str">
        <f>IFERROR(__xludf.DUMMYFUNCTION("""COMPUTED_VALUE"""),"獎狀")</f>
        <v>獎狀</v>
      </c>
      <c r="H749" s="9"/>
    </row>
    <row r="750">
      <c r="A750" s="5" t="s">
        <v>9</v>
      </c>
      <c r="B750" s="9" t="str">
        <f>IFERROR(__xludf.DUMMYFUNCTION("""COMPUTED_VALUE"""),"曾O仟")</f>
        <v>曾O仟</v>
      </c>
      <c r="C750" s="9" t="str">
        <f>IFERROR(__xludf.DUMMYFUNCTION("""COMPUTED_VALUE"""),"212*****.lhvs.tyc.edu.tw")</f>
        <v>212*****.lhvs.tyc.edu.tw</v>
      </c>
      <c r="D750" s="9" t="str">
        <f>IFERROR(__xludf.DUMMYFUNCTION("""COMPUTED_VALUE"""),"六和學校財團法人桃園市六和高級中等學校")</f>
        <v>六和學校財團法人桃園市六和高級中等學校</v>
      </c>
      <c r="E750" s="9" t="str">
        <f>IFERROR(__xludf.DUMMYFUNCTION("""COMPUTED_VALUE"""),"普通科")</f>
        <v>普通科</v>
      </c>
      <c r="F750" s="9" t="str">
        <f>IFERROR(__xludf.DUMMYFUNCTION("""COMPUTED_VALUE"""),"三年級")</f>
        <v>三年級</v>
      </c>
      <c r="G750" s="10" t="str">
        <f>IFERROR(__xludf.DUMMYFUNCTION("""COMPUTED_VALUE"""),"獎狀")</f>
        <v>獎狀</v>
      </c>
      <c r="H750" s="9"/>
    </row>
    <row r="751">
      <c r="A751" s="5" t="s">
        <v>9</v>
      </c>
      <c r="B751" s="9" t="str">
        <f>IFERROR(__xludf.DUMMYFUNCTION("""COMPUTED_VALUE"""),"陳O宇")</f>
        <v>陳O宇</v>
      </c>
      <c r="C751" s="9" t="str">
        <f>IFERROR(__xludf.DUMMYFUNCTION("""COMPUTED_VALUE"""),"s31*****gm.fdhs.tyc.edu.tw")</f>
        <v>s31*****gm.fdhs.tyc.edu.tw</v>
      </c>
      <c r="D751" s="9" t="str">
        <f>IFERROR(__xludf.DUMMYFUNCTION("""COMPUTED_VALUE"""),"復旦學校財團法人桃園市私立復旦高級中學")</f>
        <v>復旦學校財團法人桃園市私立復旦高級中學</v>
      </c>
      <c r="E751" s="9" t="str">
        <f>IFERROR(__xludf.DUMMYFUNCTION("""COMPUTED_VALUE"""),"普通科")</f>
        <v>普通科</v>
      </c>
      <c r="F751" s="9" t="str">
        <f>IFERROR(__xludf.DUMMYFUNCTION("""COMPUTED_VALUE"""),"二年級")</f>
        <v>二年級</v>
      </c>
      <c r="G751" s="10" t="str">
        <f>IFERROR(__xludf.DUMMYFUNCTION("""COMPUTED_VALUE"""),"■商品卡$200")</f>
        <v>■商品卡$200</v>
      </c>
      <c r="H751" s="11"/>
    </row>
    <row r="752">
      <c r="A752" s="5" t="s">
        <v>9</v>
      </c>
      <c r="B752" s="9" t="str">
        <f>IFERROR(__xludf.DUMMYFUNCTION("""COMPUTED_VALUE"""),"呂O凱")</f>
        <v>呂O凱</v>
      </c>
      <c r="C752" s="9" t="str">
        <f>IFERROR(__xludf.DUMMYFUNCTION("""COMPUTED_VALUE"""),"bee*****031@mail.edu.tw")</f>
        <v>bee*****031@mail.edu.tw</v>
      </c>
      <c r="D752" s="9" t="str">
        <f>IFERROR(__xludf.DUMMYFUNCTION("""COMPUTED_VALUE"""),"臺灣大華學校財團法人桃園市私立大華高級中等學校")</f>
        <v>臺灣大華學校財團法人桃園市私立大華高級中等學校</v>
      </c>
      <c r="E752" s="9" t="str">
        <f>IFERROR(__xludf.DUMMYFUNCTION("""COMPUTED_VALUE"""),"普通科")</f>
        <v>普通科</v>
      </c>
      <c r="F752" s="9" t="str">
        <f>IFERROR(__xludf.DUMMYFUNCTION("""COMPUTED_VALUE"""),"一年級")</f>
        <v>一年級</v>
      </c>
      <c r="G752" s="10" t="str">
        <f>IFERROR(__xludf.DUMMYFUNCTION("""COMPUTED_VALUE"""),"獎狀")</f>
        <v>獎狀</v>
      </c>
      <c r="H752" s="11" t="str">
        <f>IFERROR(__xludf.DUMMYFUNCTION("""COMPUTED_VALUE"""),"學籍資料不齊，請提供【就讀班級】")</f>
        <v>學籍資料不齊，請提供【就讀班級】</v>
      </c>
    </row>
    <row r="753">
      <c r="A753" s="5" t="s">
        <v>9</v>
      </c>
      <c r="B753" s="9" t="str">
        <f>IFERROR(__xludf.DUMMYFUNCTION("""COMPUTED_VALUE"""),"黃O翔")</f>
        <v>黃O翔</v>
      </c>
      <c r="C753" s="9" t="str">
        <f>IFERROR(__xludf.DUMMYFUNCTION("""COMPUTED_VALUE"""),"t11*****@twnt5.thsh.tyc.edu.tw")</f>
        <v>t11*****@twnt5.thsh.tyc.edu.tw</v>
      </c>
      <c r="D753" s="9" t="str">
        <f>IFERROR(__xludf.DUMMYFUNCTION("""COMPUTED_VALUE"""),"臺灣大華學校財團法人桃園市私立大華高級中等學校")</f>
        <v>臺灣大華學校財團法人桃園市私立大華高級中等學校</v>
      </c>
      <c r="E753" s="9" t="str">
        <f>IFERROR(__xludf.DUMMYFUNCTION("""COMPUTED_VALUE"""),"普通科")</f>
        <v>普通科</v>
      </c>
      <c r="F753" s="9" t="str">
        <f>IFERROR(__xludf.DUMMYFUNCTION("""COMPUTED_VALUE"""),"一年級")</f>
        <v>一年級</v>
      </c>
      <c r="G753" s="10" t="str">
        <f>IFERROR(__xludf.DUMMYFUNCTION("""COMPUTED_VALUE"""),"■商品卡$200")</f>
        <v>■商品卡$200</v>
      </c>
      <c r="H753" s="11"/>
    </row>
    <row r="754">
      <c r="A754" s="5" t="s">
        <v>9</v>
      </c>
      <c r="B754" s="9" t="str">
        <f>IFERROR(__xludf.DUMMYFUNCTION("""COMPUTED_VALUE"""),"莊O慈")</f>
        <v>莊O慈</v>
      </c>
      <c r="C754" s="9" t="str">
        <f>IFERROR(__xludf.DUMMYFUNCTION("""COMPUTED_VALUE"""),"tri*****522@gmail.com")</f>
        <v>tri*****522@gmail.com</v>
      </c>
      <c r="D754" s="9" t="str">
        <f>IFERROR(__xludf.DUMMYFUNCTION("""COMPUTED_VALUE"""),"桃園市立楊梅高級中等學校")</f>
        <v>桃園市立楊梅高級中等學校</v>
      </c>
      <c r="E754" s="9" t="str">
        <f>IFERROR(__xludf.DUMMYFUNCTION("""COMPUTED_VALUE"""),"普通科")</f>
        <v>普通科</v>
      </c>
      <c r="F754" s="9" t="str">
        <f>IFERROR(__xludf.DUMMYFUNCTION("""COMPUTED_VALUE"""),"一年級")</f>
        <v>一年級</v>
      </c>
      <c r="G754" s="10" t="str">
        <f>IFERROR(__xludf.DUMMYFUNCTION("""COMPUTED_VALUE"""),"獎狀")</f>
        <v>獎狀</v>
      </c>
      <c r="H754" s="11"/>
    </row>
    <row r="755">
      <c r="A755" s="5" t="s">
        <v>9</v>
      </c>
      <c r="B755" s="9" t="str">
        <f>IFERROR(__xludf.DUMMYFUNCTION("""COMPUTED_VALUE"""),"吳O婕")</f>
        <v>吳O婕</v>
      </c>
      <c r="C755" s="9" t="str">
        <f>IFERROR(__xludf.DUMMYFUNCTION("""COMPUTED_VALUE"""),"112*****@ymhs.tyc.edu.tw")</f>
        <v>112*****@ymhs.tyc.edu.tw</v>
      </c>
      <c r="D755" s="9" t="str">
        <f>IFERROR(__xludf.DUMMYFUNCTION("""COMPUTED_VALUE"""),"桃園市立楊梅高級中等學校")</f>
        <v>桃園市立楊梅高級中等學校</v>
      </c>
      <c r="E755" s="9" t="str">
        <f>IFERROR(__xludf.DUMMYFUNCTION("""COMPUTED_VALUE"""),"普通科")</f>
        <v>普通科</v>
      </c>
      <c r="F755" s="9" t="str">
        <f>IFERROR(__xludf.DUMMYFUNCTION("""COMPUTED_VALUE"""),"二年級")</f>
        <v>二年級</v>
      </c>
      <c r="G755" s="10" t="str">
        <f>IFERROR(__xludf.DUMMYFUNCTION("""COMPUTED_VALUE"""),"獎狀")</f>
        <v>獎狀</v>
      </c>
      <c r="H755" s="9"/>
    </row>
    <row r="756">
      <c r="A756" s="5" t="s">
        <v>9</v>
      </c>
      <c r="B756" s="9" t="str">
        <f>IFERROR(__xludf.DUMMYFUNCTION("""COMPUTED_VALUE"""),"曾O軒")</f>
        <v>曾O軒</v>
      </c>
      <c r="C756" s="9" t="str">
        <f>IFERROR(__xludf.DUMMYFUNCTION("""COMPUTED_VALUE"""),"112*****@ymhs.tyc.edu.tw")</f>
        <v>112*****@ymhs.tyc.edu.tw</v>
      </c>
      <c r="D756" s="9" t="str">
        <f>IFERROR(__xludf.DUMMYFUNCTION("""COMPUTED_VALUE"""),"桃園市立楊梅高級中等學校")</f>
        <v>桃園市立楊梅高級中等學校</v>
      </c>
      <c r="E756" s="9" t="str">
        <f>IFERROR(__xludf.DUMMYFUNCTION("""COMPUTED_VALUE"""),"普通科")</f>
        <v>普通科</v>
      </c>
      <c r="F756" s="9" t="str">
        <f>IFERROR(__xludf.DUMMYFUNCTION("""COMPUTED_VALUE"""),"二年級")</f>
        <v>二年級</v>
      </c>
      <c r="G756" s="10" t="str">
        <f>IFERROR(__xludf.DUMMYFUNCTION("""COMPUTED_VALUE"""),"獎狀")</f>
        <v>獎狀</v>
      </c>
      <c r="H756" s="9"/>
    </row>
    <row r="757">
      <c r="A757" s="5" t="s">
        <v>9</v>
      </c>
      <c r="B757" s="9" t="str">
        <f>IFERROR(__xludf.DUMMYFUNCTION("""COMPUTED_VALUE"""),"楊O綾")</f>
        <v>楊O綾</v>
      </c>
      <c r="C757" s="9" t="str">
        <f>IFERROR(__xludf.DUMMYFUNCTION("""COMPUTED_VALUE"""),"112*****@ymhs.tyc.edu.tw")</f>
        <v>112*****@ymhs.tyc.edu.tw</v>
      </c>
      <c r="D757" s="9" t="str">
        <f>IFERROR(__xludf.DUMMYFUNCTION("""COMPUTED_VALUE"""),"桃園市立楊梅高級中等學校")</f>
        <v>桃園市立楊梅高級中等學校</v>
      </c>
      <c r="E757" s="9" t="str">
        <f>IFERROR(__xludf.DUMMYFUNCTION("""COMPUTED_VALUE"""),"普通科")</f>
        <v>普通科</v>
      </c>
      <c r="F757" s="9" t="str">
        <f>IFERROR(__xludf.DUMMYFUNCTION("""COMPUTED_VALUE"""),"二年級")</f>
        <v>二年級</v>
      </c>
      <c r="G757" s="10" t="str">
        <f>IFERROR(__xludf.DUMMYFUNCTION("""COMPUTED_VALUE"""),"■商品卡$200")</f>
        <v>■商品卡$200</v>
      </c>
      <c r="H757" s="9"/>
    </row>
    <row r="758">
      <c r="A758" s="5" t="s">
        <v>9</v>
      </c>
      <c r="B758" s="9" t="str">
        <f>IFERROR(__xludf.DUMMYFUNCTION("""COMPUTED_VALUE"""),"歐O瑜")</f>
        <v>歐O瑜</v>
      </c>
      <c r="C758" s="9" t="str">
        <f>IFERROR(__xludf.DUMMYFUNCTION("""COMPUTED_VALUE"""),"112*****@ymhs.tyc.edu.tw")</f>
        <v>112*****@ymhs.tyc.edu.tw</v>
      </c>
      <c r="D758" s="9" t="str">
        <f>IFERROR(__xludf.DUMMYFUNCTION("""COMPUTED_VALUE"""),"桃園市立楊梅高級中等學校")</f>
        <v>桃園市立楊梅高級中等學校</v>
      </c>
      <c r="E758" s="9" t="str">
        <f>IFERROR(__xludf.DUMMYFUNCTION("""COMPUTED_VALUE"""),"普通科")</f>
        <v>普通科</v>
      </c>
      <c r="F758" s="9" t="str">
        <f>IFERROR(__xludf.DUMMYFUNCTION("""COMPUTED_VALUE"""),"二年級")</f>
        <v>二年級</v>
      </c>
      <c r="G758" s="10" t="str">
        <f>IFERROR(__xludf.DUMMYFUNCTION("""COMPUTED_VALUE"""),"■商品卡$200")</f>
        <v>■商品卡$200</v>
      </c>
      <c r="H758" s="9"/>
    </row>
    <row r="759">
      <c r="A759" s="5" t="s">
        <v>9</v>
      </c>
      <c r="B759" s="9" t="str">
        <f>IFERROR(__xludf.DUMMYFUNCTION("""COMPUTED_VALUE"""),"曾O捷")</f>
        <v>曾O捷</v>
      </c>
      <c r="C759" s="9" t="str">
        <f>IFERROR(__xludf.DUMMYFUNCTION("""COMPUTED_VALUE"""),"112*****@ymhs.tyc.edu.tw")</f>
        <v>112*****@ymhs.tyc.edu.tw</v>
      </c>
      <c r="D759" s="9" t="str">
        <f>IFERROR(__xludf.DUMMYFUNCTION("""COMPUTED_VALUE"""),"桃園市立楊梅高級中等學校")</f>
        <v>桃園市立楊梅高級中等學校</v>
      </c>
      <c r="E759" s="9" t="str">
        <f>IFERROR(__xludf.DUMMYFUNCTION("""COMPUTED_VALUE"""),"普通科")</f>
        <v>普通科</v>
      </c>
      <c r="F759" s="9" t="str">
        <f>IFERROR(__xludf.DUMMYFUNCTION("""COMPUTED_VALUE"""),"二年級")</f>
        <v>二年級</v>
      </c>
      <c r="G759" s="10" t="str">
        <f>IFERROR(__xludf.DUMMYFUNCTION("""COMPUTED_VALUE"""),"獎狀")</f>
        <v>獎狀</v>
      </c>
      <c r="H759" s="9"/>
    </row>
    <row r="760">
      <c r="A760" s="5" t="s">
        <v>9</v>
      </c>
      <c r="B760" s="9" t="str">
        <f>IFERROR(__xludf.DUMMYFUNCTION("""COMPUTED_VALUE"""),"張O如")</f>
        <v>張O如</v>
      </c>
      <c r="C760" s="9" t="str">
        <f>IFERROR(__xludf.DUMMYFUNCTION("""COMPUTED_VALUE"""),"112*****@ymhs.tyc.edu.tw")</f>
        <v>112*****@ymhs.tyc.edu.tw</v>
      </c>
      <c r="D760" s="9" t="str">
        <f>IFERROR(__xludf.DUMMYFUNCTION("""COMPUTED_VALUE"""),"桃園市立楊梅高級中等學校")</f>
        <v>桃園市立楊梅高級中等學校</v>
      </c>
      <c r="E760" s="9" t="str">
        <f>IFERROR(__xludf.DUMMYFUNCTION("""COMPUTED_VALUE"""),"普通科")</f>
        <v>普通科</v>
      </c>
      <c r="F760" s="9" t="str">
        <f>IFERROR(__xludf.DUMMYFUNCTION("""COMPUTED_VALUE"""),"二年級")</f>
        <v>二年級</v>
      </c>
      <c r="G760" s="10" t="str">
        <f>IFERROR(__xludf.DUMMYFUNCTION("""COMPUTED_VALUE"""),"獎狀")</f>
        <v>獎狀</v>
      </c>
      <c r="H760" s="9"/>
    </row>
    <row r="761">
      <c r="A761" s="5" t="s">
        <v>9</v>
      </c>
      <c r="B761" s="9" t="str">
        <f>IFERROR(__xludf.DUMMYFUNCTION("""COMPUTED_VALUE"""),"林O臻")</f>
        <v>林O臻</v>
      </c>
      <c r="C761" s="9" t="str">
        <f>IFERROR(__xludf.DUMMYFUNCTION("""COMPUTED_VALUE"""),"112*****@ymhs.tyc.edu.tw")</f>
        <v>112*****@ymhs.tyc.edu.tw</v>
      </c>
      <c r="D761" s="9" t="str">
        <f>IFERROR(__xludf.DUMMYFUNCTION("""COMPUTED_VALUE"""),"桃園市立楊梅高級中等學校")</f>
        <v>桃園市立楊梅高級中等學校</v>
      </c>
      <c r="E761" s="9" t="str">
        <f>IFERROR(__xludf.DUMMYFUNCTION("""COMPUTED_VALUE"""),"普通科")</f>
        <v>普通科</v>
      </c>
      <c r="F761" s="9" t="str">
        <f>IFERROR(__xludf.DUMMYFUNCTION("""COMPUTED_VALUE"""),"二年級")</f>
        <v>二年級</v>
      </c>
      <c r="G761" s="10" t="str">
        <f>IFERROR(__xludf.DUMMYFUNCTION("""COMPUTED_VALUE"""),"○商品卡$500")</f>
        <v>○商品卡$500</v>
      </c>
      <c r="H761" s="9"/>
    </row>
    <row r="762">
      <c r="A762" s="5" t="s">
        <v>9</v>
      </c>
      <c r="B762" s="9" t="str">
        <f>IFERROR(__xludf.DUMMYFUNCTION("""COMPUTED_VALUE"""),"陳O妮")</f>
        <v>陳O妮</v>
      </c>
      <c r="C762" s="9" t="str">
        <f>IFERROR(__xludf.DUMMYFUNCTION("""COMPUTED_VALUE"""),"112*****@ymhs.tyc.edu.tw")</f>
        <v>112*****@ymhs.tyc.edu.tw</v>
      </c>
      <c r="D762" s="9" t="str">
        <f>IFERROR(__xludf.DUMMYFUNCTION("""COMPUTED_VALUE"""),"桃園市立楊梅高級中等學校")</f>
        <v>桃園市立楊梅高級中等學校</v>
      </c>
      <c r="E762" s="9" t="str">
        <f>IFERROR(__xludf.DUMMYFUNCTION("""COMPUTED_VALUE"""),"普通科")</f>
        <v>普通科</v>
      </c>
      <c r="F762" s="9" t="str">
        <f>IFERROR(__xludf.DUMMYFUNCTION("""COMPUTED_VALUE"""),"二年級")</f>
        <v>二年級</v>
      </c>
      <c r="G762" s="10" t="str">
        <f>IFERROR(__xludf.DUMMYFUNCTION("""COMPUTED_VALUE"""),"獎狀")</f>
        <v>獎狀</v>
      </c>
      <c r="H762" s="9"/>
    </row>
    <row r="763">
      <c r="A763" s="5" t="s">
        <v>9</v>
      </c>
      <c r="B763" s="9" t="str">
        <f>IFERROR(__xludf.DUMMYFUNCTION("""COMPUTED_VALUE"""),"王O寧")</f>
        <v>王O寧</v>
      </c>
      <c r="C763" s="9" t="str">
        <f>IFERROR(__xludf.DUMMYFUNCTION("""COMPUTED_VALUE"""),"112*****@ymhs.tyc.edu.tw")</f>
        <v>112*****@ymhs.tyc.edu.tw</v>
      </c>
      <c r="D763" s="9" t="str">
        <f>IFERROR(__xludf.DUMMYFUNCTION("""COMPUTED_VALUE"""),"桃園市立楊梅高級中等學校")</f>
        <v>桃園市立楊梅高級中等學校</v>
      </c>
      <c r="E763" s="9" t="str">
        <f>IFERROR(__xludf.DUMMYFUNCTION("""COMPUTED_VALUE"""),"普通科")</f>
        <v>普通科</v>
      </c>
      <c r="F763" s="9" t="str">
        <f>IFERROR(__xludf.DUMMYFUNCTION("""COMPUTED_VALUE"""),"二年級")</f>
        <v>二年級</v>
      </c>
      <c r="G763" s="10" t="str">
        <f>IFERROR(__xludf.DUMMYFUNCTION("""COMPUTED_VALUE"""),"獎狀")</f>
        <v>獎狀</v>
      </c>
      <c r="H763" s="9"/>
    </row>
    <row r="764">
      <c r="A764" s="5" t="s">
        <v>9</v>
      </c>
      <c r="B764" s="9" t="str">
        <f>IFERROR(__xludf.DUMMYFUNCTION("""COMPUTED_VALUE"""),"鄭O晴")</f>
        <v>鄭O晴</v>
      </c>
      <c r="C764" s="9" t="str">
        <f>IFERROR(__xludf.DUMMYFUNCTION("""COMPUTED_VALUE"""),"112*****@ymhs.tyc.edu.tw")</f>
        <v>112*****@ymhs.tyc.edu.tw</v>
      </c>
      <c r="D764" s="9" t="str">
        <f>IFERROR(__xludf.DUMMYFUNCTION("""COMPUTED_VALUE"""),"桃園市立楊梅高級中等學校")</f>
        <v>桃園市立楊梅高級中等學校</v>
      </c>
      <c r="E764" s="9" t="str">
        <f>IFERROR(__xludf.DUMMYFUNCTION("""COMPUTED_VALUE"""),"普通科")</f>
        <v>普通科</v>
      </c>
      <c r="F764" s="9" t="str">
        <f>IFERROR(__xludf.DUMMYFUNCTION("""COMPUTED_VALUE"""),"二年級")</f>
        <v>二年級</v>
      </c>
      <c r="G764" s="10" t="str">
        <f>IFERROR(__xludf.DUMMYFUNCTION("""COMPUTED_VALUE"""),"獎狀")</f>
        <v>獎狀</v>
      </c>
      <c r="H764" s="9"/>
    </row>
    <row r="765">
      <c r="A765" s="5" t="s">
        <v>9</v>
      </c>
      <c r="B765" s="9" t="str">
        <f>IFERROR(__xludf.DUMMYFUNCTION("""COMPUTED_VALUE"""),"黃O涵")</f>
        <v>黃O涵</v>
      </c>
      <c r="C765" s="9" t="str">
        <f>IFERROR(__xludf.DUMMYFUNCTION("""COMPUTED_VALUE"""),"112*****@ymhs.tyc.edu.tw")</f>
        <v>112*****@ymhs.tyc.edu.tw</v>
      </c>
      <c r="D765" s="9" t="str">
        <f>IFERROR(__xludf.DUMMYFUNCTION("""COMPUTED_VALUE"""),"桃園市立楊梅高級中等學校")</f>
        <v>桃園市立楊梅高級中等學校</v>
      </c>
      <c r="E765" s="9" t="str">
        <f>IFERROR(__xludf.DUMMYFUNCTION("""COMPUTED_VALUE"""),"普通科")</f>
        <v>普通科</v>
      </c>
      <c r="F765" s="9" t="str">
        <f>IFERROR(__xludf.DUMMYFUNCTION("""COMPUTED_VALUE"""),"二年級")</f>
        <v>二年級</v>
      </c>
      <c r="G765" s="10" t="str">
        <f>IFERROR(__xludf.DUMMYFUNCTION("""COMPUTED_VALUE"""),"獎狀")</f>
        <v>獎狀</v>
      </c>
      <c r="H765" s="9"/>
    </row>
    <row r="766">
      <c r="A766" s="5" t="s">
        <v>9</v>
      </c>
      <c r="B766" s="9" t="str">
        <f>IFERROR(__xludf.DUMMYFUNCTION("""COMPUTED_VALUE"""),"李O欣")</f>
        <v>李O欣</v>
      </c>
      <c r="C766" s="9" t="str">
        <f>IFERROR(__xludf.DUMMYFUNCTION("""COMPUTED_VALUE"""),"112*****@ymhs.tyc.edu.tw")</f>
        <v>112*****@ymhs.tyc.edu.tw</v>
      </c>
      <c r="D766" s="9" t="str">
        <f>IFERROR(__xludf.DUMMYFUNCTION("""COMPUTED_VALUE"""),"桃園市立楊梅高級中等學校")</f>
        <v>桃園市立楊梅高級中等學校</v>
      </c>
      <c r="E766" s="9" t="str">
        <f>IFERROR(__xludf.DUMMYFUNCTION("""COMPUTED_VALUE"""),"普通科")</f>
        <v>普通科</v>
      </c>
      <c r="F766" s="9" t="str">
        <f>IFERROR(__xludf.DUMMYFUNCTION("""COMPUTED_VALUE"""),"二年級")</f>
        <v>二年級</v>
      </c>
      <c r="G766" s="10" t="str">
        <f>IFERROR(__xludf.DUMMYFUNCTION("""COMPUTED_VALUE"""),"獎狀")</f>
        <v>獎狀</v>
      </c>
      <c r="H766" s="9"/>
    </row>
    <row r="767">
      <c r="A767" s="5" t="s">
        <v>9</v>
      </c>
      <c r="B767" s="9" t="str">
        <f>IFERROR(__xludf.DUMMYFUNCTION("""COMPUTED_VALUE"""),"葉O怡")</f>
        <v>葉O怡</v>
      </c>
      <c r="C767" s="9" t="str">
        <f>IFERROR(__xludf.DUMMYFUNCTION("""COMPUTED_VALUE"""),"112*****@ymhs.tyc.edu.tw")</f>
        <v>112*****@ymhs.tyc.edu.tw</v>
      </c>
      <c r="D767" s="9" t="str">
        <f>IFERROR(__xludf.DUMMYFUNCTION("""COMPUTED_VALUE"""),"桃園市立楊梅高級中等學校")</f>
        <v>桃園市立楊梅高級中等學校</v>
      </c>
      <c r="E767" s="9" t="str">
        <f>IFERROR(__xludf.DUMMYFUNCTION("""COMPUTED_VALUE"""),"普通科")</f>
        <v>普通科</v>
      </c>
      <c r="F767" s="9" t="str">
        <f>IFERROR(__xludf.DUMMYFUNCTION("""COMPUTED_VALUE"""),"二年級")</f>
        <v>二年級</v>
      </c>
      <c r="G767" s="10" t="str">
        <f>IFERROR(__xludf.DUMMYFUNCTION("""COMPUTED_VALUE"""),"○商品卡$500")</f>
        <v>○商品卡$500</v>
      </c>
      <c r="H767" s="9"/>
    </row>
    <row r="768">
      <c r="A768" s="5" t="s">
        <v>9</v>
      </c>
      <c r="B768" s="9" t="str">
        <f>IFERROR(__xludf.DUMMYFUNCTION("""COMPUTED_VALUE"""),"陳O伶")</f>
        <v>陳O伶</v>
      </c>
      <c r="C768" s="9" t="str">
        <f>IFERROR(__xludf.DUMMYFUNCTION("""COMPUTED_VALUE"""),"112*****@ymhs.tyc.edu.tw")</f>
        <v>112*****@ymhs.tyc.edu.tw</v>
      </c>
      <c r="D768" s="9" t="str">
        <f>IFERROR(__xludf.DUMMYFUNCTION("""COMPUTED_VALUE"""),"桃園市立楊梅高級中等學校")</f>
        <v>桃園市立楊梅高級中等學校</v>
      </c>
      <c r="E768" s="9" t="str">
        <f>IFERROR(__xludf.DUMMYFUNCTION("""COMPUTED_VALUE"""),"普通科")</f>
        <v>普通科</v>
      </c>
      <c r="F768" s="9" t="str">
        <f>IFERROR(__xludf.DUMMYFUNCTION("""COMPUTED_VALUE"""),"二年級")</f>
        <v>二年級</v>
      </c>
      <c r="G768" s="10" t="str">
        <f>IFERROR(__xludf.DUMMYFUNCTION("""COMPUTED_VALUE"""),"獎狀")</f>
        <v>獎狀</v>
      </c>
      <c r="H768" s="9"/>
    </row>
    <row r="769">
      <c r="A769" s="5" t="s">
        <v>9</v>
      </c>
      <c r="B769" s="9" t="str">
        <f>IFERROR(__xludf.DUMMYFUNCTION("""COMPUTED_VALUE"""),"林O陽")</f>
        <v>林O陽</v>
      </c>
      <c r="C769" s="9" t="str">
        <f>IFERROR(__xludf.DUMMYFUNCTION("""COMPUTED_VALUE"""),"112*****@ymhs.tyc.edu.tw")</f>
        <v>112*****@ymhs.tyc.edu.tw</v>
      </c>
      <c r="D769" s="9" t="str">
        <f>IFERROR(__xludf.DUMMYFUNCTION("""COMPUTED_VALUE"""),"桃園市立楊梅高級中等學校")</f>
        <v>桃園市立楊梅高級中等學校</v>
      </c>
      <c r="E769" s="9" t="str">
        <f>IFERROR(__xludf.DUMMYFUNCTION("""COMPUTED_VALUE"""),"普通科")</f>
        <v>普通科</v>
      </c>
      <c r="F769" s="9" t="str">
        <f>IFERROR(__xludf.DUMMYFUNCTION("""COMPUTED_VALUE"""),"二年級")</f>
        <v>二年級</v>
      </c>
      <c r="G769" s="10" t="str">
        <f>IFERROR(__xludf.DUMMYFUNCTION("""COMPUTED_VALUE"""),"獎狀")</f>
        <v>獎狀</v>
      </c>
      <c r="H769" s="9"/>
    </row>
    <row r="770">
      <c r="A770" s="5" t="s">
        <v>9</v>
      </c>
      <c r="B770" s="9" t="str">
        <f>IFERROR(__xludf.DUMMYFUNCTION("""COMPUTED_VALUE"""),"劉O筠")</f>
        <v>劉O筠</v>
      </c>
      <c r="C770" s="9" t="str">
        <f>IFERROR(__xludf.DUMMYFUNCTION("""COMPUTED_VALUE"""),"112*****@ymhs.tyc.edu.tw")</f>
        <v>112*****@ymhs.tyc.edu.tw</v>
      </c>
      <c r="D770" s="9" t="str">
        <f>IFERROR(__xludf.DUMMYFUNCTION("""COMPUTED_VALUE"""),"桃園市立楊梅高級中等學校")</f>
        <v>桃園市立楊梅高級中等學校</v>
      </c>
      <c r="E770" s="9" t="str">
        <f>IFERROR(__xludf.DUMMYFUNCTION("""COMPUTED_VALUE"""),"普通科")</f>
        <v>普通科</v>
      </c>
      <c r="F770" s="9" t="str">
        <f>IFERROR(__xludf.DUMMYFUNCTION("""COMPUTED_VALUE"""),"二年級")</f>
        <v>二年級</v>
      </c>
      <c r="G770" s="10" t="str">
        <f>IFERROR(__xludf.DUMMYFUNCTION("""COMPUTED_VALUE"""),"獎狀")</f>
        <v>獎狀</v>
      </c>
      <c r="H770" s="9"/>
    </row>
    <row r="771">
      <c r="A771" s="5" t="s">
        <v>9</v>
      </c>
      <c r="B771" s="9" t="str">
        <f>IFERROR(__xludf.DUMMYFUNCTION("""COMPUTED_VALUE"""),"陳O穎")</f>
        <v>陳O穎</v>
      </c>
      <c r="C771" s="9" t="str">
        <f>IFERROR(__xludf.DUMMYFUNCTION("""COMPUTED_VALUE"""),"112*****@ymhs.tyc.edu.tw")</f>
        <v>112*****@ymhs.tyc.edu.tw</v>
      </c>
      <c r="D771" s="9" t="str">
        <f>IFERROR(__xludf.DUMMYFUNCTION("""COMPUTED_VALUE"""),"桃園市立楊梅高級中等學校")</f>
        <v>桃園市立楊梅高級中等學校</v>
      </c>
      <c r="E771" s="9" t="str">
        <f>IFERROR(__xludf.DUMMYFUNCTION("""COMPUTED_VALUE"""),"普通科")</f>
        <v>普通科</v>
      </c>
      <c r="F771" s="9" t="str">
        <f>IFERROR(__xludf.DUMMYFUNCTION("""COMPUTED_VALUE"""),"二年級")</f>
        <v>二年級</v>
      </c>
      <c r="G771" s="10" t="str">
        <f>IFERROR(__xludf.DUMMYFUNCTION("""COMPUTED_VALUE"""),"獎狀")</f>
        <v>獎狀</v>
      </c>
      <c r="H771" s="9"/>
    </row>
    <row r="772">
      <c r="A772" s="5" t="s">
        <v>9</v>
      </c>
      <c r="B772" s="9" t="str">
        <f>IFERROR(__xludf.DUMMYFUNCTION("""COMPUTED_VALUE"""),"葉O宏")</f>
        <v>葉O宏</v>
      </c>
      <c r="C772" s="9" t="str">
        <f>IFERROR(__xludf.DUMMYFUNCTION("""COMPUTED_VALUE"""),"112*****@ymhs.tyc.edu.tw")</f>
        <v>112*****@ymhs.tyc.edu.tw</v>
      </c>
      <c r="D772" s="9" t="str">
        <f>IFERROR(__xludf.DUMMYFUNCTION("""COMPUTED_VALUE"""),"桃園市立楊梅高級中等學校")</f>
        <v>桃園市立楊梅高級中等學校</v>
      </c>
      <c r="E772" s="9" t="str">
        <f>IFERROR(__xludf.DUMMYFUNCTION("""COMPUTED_VALUE"""),"普通科")</f>
        <v>普通科</v>
      </c>
      <c r="F772" s="9" t="str">
        <f>IFERROR(__xludf.DUMMYFUNCTION("""COMPUTED_VALUE"""),"二年級")</f>
        <v>二年級</v>
      </c>
      <c r="G772" s="10" t="str">
        <f>IFERROR(__xludf.DUMMYFUNCTION("""COMPUTED_VALUE"""),"獎狀")</f>
        <v>獎狀</v>
      </c>
      <c r="H772" s="9"/>
    </row>
    <row r="773">
      <c r="A773" s="5" t="s">
        <v>9</v>
      </c>
      <c r="B773" s="9" t="str">
        <f>IFERROR(__xludf.DUMMYFUNCTION("""COMPUTED_VALUE"""),"周O謀")</f>
        <v>周O謀</v>
      </c>
      <c r="C773" s="9" t="str">
        <f>IFERROR(__xludf.DUMMYFUNCTION("""COMPUTED_VALUE"""),"112*****@ymhs.tyc.edu.tw")</f>
        <v>112*****@ymhs.tyc.edu.tw</v>
      </c>
      <c r="D773" s="9" t="str">
        <f>IFERROR(__xludf.DUMMYFUNCTION("""COMPUTED_VALUE"""),"桃園市立楊梅高級中等學校")</f>
        <v>桃園市立楊梅高級中等學校</v>
      </c>
      <c r="E773" s="9" t="str">
        <f>IFERROR(__xludf.DUMMYFUNCTION("""COMPUTED_VALUE"""),"普通科")</f>
        <v>普通科</v>
      </c>
      <c r="F773" s="9" t="str">
        <f>IFERROR(__xludf.DUMMYFUNCTION("""COMPUTED_VALUE"""),"二年級")</f>
        <v>二年級</v>
      </c>
      <c r="G773" s="10" t="str">
        <f>IFERROR(__xludf.DUMMYFUNCTION("""COMPUTED_VALUE"""),"獎狀")</f>
        <v>獎狀</v>
      </c>
      <c r="H773" s="9"/>
    </row>
    <row r="774">
      <c r="A774" s="5" t="s">
        <v>9</v>
      </c>
      <c r="B774" s="9" t="str">
        <f>IFERROR(__xludf.DUMMYFUNCTION("""COMPUTED_VALUE"""),"朱O豪")</f>
        <v>朱O豪</v>
      </c>
      <c r="C774" s="9" t="str">
        <f>IFERROR(__xludf.DUMMYFUNCTION("""COMPUTED_VALUE"""),"112*****@ymhs.tyc.edu.tw")</f>
        <v>112*****@ymhs.tyc.edu.tw</v>
      </c>
      <c r="D774" s="9" t="str">
        <f>IFERROR(__xludf.DUMMYFUNCTION("""COMPUTED_VALUE"""),"桃園市立楊梅高級中等學校")</f>
        <v>桃園市立楊梅高級中等學校</v>
      </c>
      <c r="E774" s="9" t="str">
        <f>IFERROR(__xludf.DUMMYFUNCTION("""COMPUTED_VALUE"""),"普通科")</f>
        <v>普通科</v>
      </c>
      <c r="F774" s="9" t="str">
        <f>IFERROR(__xludf.DUMMYFUNCTION("""COMPUTED_VALUE"""),"二年級")</f>
        <v>二年級</v>
      </c>
      <c r="G774" s="10" t="str">
        <f>IFERROR(__xludf.DUMMYFUNCTION("""COMPUTED_VALUE"""),"獎狀")</f>
        <v>獎狀</v>
      </c>
      <c r="H774" s="9"/>
    </row>
    <row r="775">
      <c r="A775" s="5" t="s">
        <v>9</v>
      </c>
      <c r="B775" s="9" t="str">
        <f>IFERROR(__xludf.DUMMYFUNCTION("""COMPUTED_VALUE"""),"池O双")</f>
        <v>池O双</v>
      </c>
      <c r="C775" s="9" t="str">
        <f>IFERROR(__xludf.DUMMYFUNCTION("""COMPUTED_VALUE"""),"112*****@ymhs.tyc.edu.tw")</f>
        <v>112*****@ymhs.tyc.edu.tw</v>
      </c>
      <c r="D775" s="9" t="str">
        <f>IFERROR(__xludf.DUMMYFUNCTION("""COMPUTED_VALUE"""),"桃園市立楊梅高級中等學校")</f>
        <v>桃園市立楊梅高級中等學校</v>
      </c>
      <c r="E775" s="9" t="str">
        <f>IFERROR(__xludf.DUMMYFUNCTION("""COMPUTED_VALUE"""),"普通科")</f>
        <v>普通科</v>
      </c>
      <c r="F775" s="9" t="str">
        <f>IFERROR(__xludf.DUMMYFUNCTION("""COMPUTED_VALUE"""),"二年級")</f>
        <v>二年級</v>
      </c>
      <c r="G775" s="10" t="str">
        <f>IFERROR(__xludf.DUMMYFUNCTION("""COMPUTED_VALUE"""),"獎狀")</f>
        <v>獎狀</v>
      </c>
      <c r="H775" s="9"/>
    </row>
    <row r="776">
      <c r="A776" s="5" t="s">
        <v>9</v>
      </c>
      <c r="B776" s="9" t="str">
        <f>IFERROR(__xludf.DUMMYFUNCTION("""COMPUTED_VALUE"""),"張O溱")</f>
        <v>張O溱</v>
      </c>
      <c r="C776" s="9" t="str">
        <f>IFERROR(__xludf.DUMMYFUNCTION("""COMPUTED_VALUE"""),"112*****@ymhs.tyc.edu.tw")</f>
        <v>112*****@ymhs.tyc.edu.tw</v>
      </c>
      <c r="D776" s="9" t="str">
        <f>IFERROR(__xludf.DUMMYFUNCTION("""COMPUTED_VALUE"""),"桃園市立楊梅高級中等學校")</f>
        <v>桃園市立楊梅高級中等學校</v>
      </c>
      <c r="E776" s="9" t="str">
        <f>IFERROR(__xludf.DUMMYFUNCTION("""COMPUTED_VALUE"""),"普通科")</f>
        <v>普通科</v>
      </c>
      <c r="F776" s="9" t="str">
        <f>IFERROR(__xludf.DUMMYFUNCTION("""COMPUTED_VALUE"""),"二年級")</f>
        <v>二年級</v>
      </c>
      <c r="G776" s="10" t="str">
        <f>IFERROR(__xludf.DUMMYFUNCTION("""COMPUTED_VALUE"""),"獎狀")</f>
        <v>獎狀</v>
      </c>
      <c r="H776" s="9"/>
    </row>
    <row r="777">
      <c r="A777" s="5" t="s">
        <v>9</v>
      </c>
      <c r="B777" s="9" t="str">
        <f>IFERROR(__xludf.DUMMYFUNCTION("""COMPUTED_VALUE"""),"范O樺")</f>
        <v>范O樺</v>
      </c>
      <c r="C777" s="9" t="str">
        <f>IFERROR(__xludf.DUMMYFUNCTION("""COMPUTED_VALUE"""),"112*****@ymhs.tyc.edu.tw")</f>
        <v>112*****@ymhs.tyc.edu.tw</v>
      </c>
      <c r="D777" s="9" t="str">
        <f>IFERROR(__xludf.DUMMYFUNCTION("""COMPUTED_VALUE"""),"桃園市立楊梅高級中等學校")</f>
        <v>桃園市立楊梅高級中等學校</v>
      </c>
      <c r="E777" s="9" t="str">
        <f>IFERROR(__xludf.DUMMYFUNCTION("""COMPUTED_VALUE"""),"普通科")</f>
        <v>普通科</v>
      </c>
      <c r="F777" s="9" t="str">
        <f>IFERROR(__xludf.DUMMYFUNCTION("""COMPUTED_VALUE"""),"二年級")</f>
        <v>二年級</v>
      </c>
      <c r="G777" s="10" t="str">
        <f>IFERROR(__xludf.DUMMYFUNCTION("""COMPUTED_VALUE"""),"獎狀")</f>
        <v>獎狀</v>
      </c>
      <c r="H777" s="9"/>
    </row>
    <row r="778">
      <c r="A778" s="5" t="s">
        <v>9</v>
      </c>
      <c r="B778" s="9" t="str">
        <f>IFERROR(__xludf.DUMMYFUNCTION("""COMPUTED_VALUE"""),"彭O恩")</f>
        <v>彭O恩</v>
      </c>
      <c r="C778" s="9" t="str">
        <f>IFERROR(__xludf.DUMMYFUNCTION("""COMPUTED_VALUE"""),"112*****@ymhs.tyc.edu.tw")</f>
        <v>112*****@ymhs.tyc.edu.tw</v>
      </c>
      <c r="D778" s="9" t="str">
        <f>IFERROR(__xludf.DUMMYFUNCTION("""COMPUTED_VALUE"""),"桃園市立楊梅高級中等學校")</f>
        <v>桃園市立楊梅高級中等學校</v>
      </c>
      <c r="E778" s="9" t="str">
        <f>IFERROR(__xludf.DUMMYFUNCTION("""COMPUTED_VALUE"""),"普通科")</f>
        <v>普通科</v>
      </c>
      <c r="F778" s="9" t="str">
        <f>IFERROR(__xludf.DUMMYFUNCTION("""COMPUTED_VALUE"""),"二年級")</f>
        <v>二年級</v>
      </c>
      <c r="G778" s="10" t="str">
        <f>IFERROR(__xludf.DUMMYFUNCTION("""COMPUTED_VALUE"""),"獎狀")</f>
        <v>獎狀</v>
      </c>
      <c r="H778" s="9"/>
    </row>
    <row r="779">
      <c r="A779" s="5" t="s">
        <v>9</v>
      </c>
      <c r="B779" s="9" t="str">
        <f>IFERROR(__xludf.DUMMYFUNCTION("""COMPUTED_VALUE"""),"洪O鈞")</f>
        <v>洪O鈞</v>
      </c>
      <c r="C779" s="9" t="str">
        <f>IFERROR(__xludf.DUMMYFUNCTION("""COMPUTED_VALUE"""),"112*****@ymhs.tyc.edu.tw")</f>
        <v>112*****@ymhs.tyc.edu.tw</v>
      </c>
      <c r="D779" s="9" t="str">
        <f>IFERROR(__xludf.DUMMYFUNCTION("""COMPUTED_VALUE"""),"桃園市立楊梅高級中等學校")</f>
        <v>桃園市立楊梅高級中等學校</v>
      </c>
      <c r="E779" s="9" t="str">
        <f>IFERROR(__xludf.DUMMYFUNCTION("""COMPUTED_VALUE"""),"普通科")</f>
        <v>普通科</v>
      </c>
      <c r="F779" s="9" t="str">
        <f>IFERROR(__xludf.DUMMYFUNCTION("""COMPUTED_VALUE"""),"二年級")</f>
        <v>二年級</v>
      </c>
      <c r="G779" s="10" t="str">
        <f>IFERROR(__xludf.DUMMYFUNCTION("""COMPUTED_VALUE"""),"獎狀")</f>
        <v>獎狀</v>
      </c>
      <c r="H779" s="9"/>
    </row>
    <row r="780">
      <c r="A780" s="5" t="s">
        <v>9</v>
      </c>
      <c r="B780" s="9" t="str">
        <f>IFERROR(__xludf.DUMMYFUNCTION("""COMPUTED_VALUE"""),"盤O儒")</f>
        <v>盤O儒</v>
      </c>
      <c r="C780" s="9" t="str">
        <f>IFERROR(__xludf.DUMMYFUNCTION("""COMPUTED_VALUE"""),"112*****@ymhs.tyc.edu.tw")</f>
        <v>112*****@ymhs.tyc.edu.tw</v>
      </c>
      <c r="D780" s="9" t="str">
        <f>IFERROR(__xludf.DUMMYFUNCTION("""COMPUTED_VALUE"""),"桃園市立楊梅高級中等學校")</f>
        <v>桃園市立楊梅高級中等學校</v>
      </c>
      <c r="E780" s="9" t="str">
        <f>IFERROR(__xludf.DUMMYFUNCTION("""COMPUTED_VALUE"""),"普通科")</f>
        <v>普通科</v>
      </c>
      <c r="F780" s="9" t="str">
        <f>IFERROR(__xludf.DUMMYFUNCTION("""COMPUTED_VALUE"""),"二年級")</f>
        <v>二年級</v>
      </c>
      <c r="G780" s="10" t="str">
        <f>IFERROR(__xludf.DUMMYFUNCTION("""COMPUTED_VALUE"""),"獎狀")</f>
        <v>獎狀</v>
      </c>
      <c r="H780" s="9"/>
    </row>
    <row r="781">
      <c r="A781" s="5" t="s">
        <v>9</v>
      </c>
      <c r="B781" s="9" t="str">
        <f>IFERROR(__xludf.DUMMYFUNCTION("""COMPUTED_VALUE"""),"吳O豈")</f>
        <v>吳O豈</v>
      </c>
      <c r="C781" s="9" t="str">
        <f>IFERROR(__xludf.DUMMYFUNCTION("""COMPUTED_VALUE"""),"112*****@ymhs.tyc.edu.tw")</f>
        <v>112*****@ymhs.tyc.edu.tw</v>
      </c>
      <c r="D781" s="9" t="str">
        <f>IFERROR(__xludf.DUMMYFUNCTION("""COMPUTED_VALUE"""),"桃園市立楊梅高級中等學校")</f>
        <v>桃園市立楊梅高級中等學校</v>
      </c>
      <c r="E781" s="9" t="str">
        <f>IFERROR(__xludf.DUMMYFUNCTION("""COMPUTED_VALUE"""),"普通科")</f>
        <v>普通科</v>
      </c>
      <c r="F781" s="9" t="str">
        <f>IFERROR(__xludf.DUMMYFUNCTION("""COMPUTED_VALUE"""),"二年級")</f>
        <v>二年級</v>
      </c>
      <c r="G781" s="10" t="str">
        <f>IFERROR(__xludf.DUMMYFUNCTION("""COMPUTED_VALUE"""),"獎狀")</f>
        <v>獎狀</v>
      </c>
      <c r="H781" s="9"/>
    </row>
    <row r="782">
      <c r="A782" s="5" t="s">
        <v>9</v>
      </c>
      <c r="B782" s="9" t="str">
        <f>IFERROR(__xludf.DUMMYFUNCTION("""COMPUTED_VALUE"""),"許O祐")</f>
        <v>許O祐</v>
      </c>
      <c r="C782" s="9" t="str">
        <f>IFERROR(__xludf.DUMMYFUNCTION("""COMPUTED_VALUE"""),"112*****@ymhs.tyc.edu.tw")</f>
        <v>112*****@ymhs.tyc.edu.tw</v>
      </c>
      <c r="D782" s="9" t="str">
        <f>IFERROR(__xludf.DUMMYFUNCTION("""COMPUTED_VALUE"""),"桃園市立楊梅高級中等學校")</f>
        <v>桃園市立楊梅高級中等學校</v>
      </c>
      <c r="E782" s="9" t="str">
        <f>IFERROR(__xludf.DUMMYFUNCTION("""COMPUTED_VALUE"""),"普通科")</f>
        <v>普通科</v>
      </c>
      <c r="F782" s="9" t="str">
        <f>IFERROR(__xludf.DUMMYFUNCTION("""COMPUTED_VALUE"""),"三年級")</f>
        <v>三年級</v>
      </c>
      <c r="G782" s="10" t="str">
        <f>IFERROR(__xludf.DUMMYFUNCTION("""COMPUTED_VALUE"""),"獎狀")</f>
        <v>獎狀</v>
      </c>
      <c r="H782" s="9"/>
    </row>
    <row r="783">
      <c r="A783" s="5" t="s">
        <v>9</v>
      </c>
      <c r="B783" s="9" t="str">
        <f>IFERROR(__xludf.DUMMYFUNCTION("""COMPUTED_VALUE"""),"王O燕")</f>
        <v>王O燕</v>
      </c>
      <c r="C783" s="9" t="str">
        <f>IFERROR(__xludf.DUMMYFUNCTION("""COMPUTED_VALUE"""),"112*****@ymhs.tyc.edu.tw")</f>
        <v>112*****@ymhs.tyc.edu.tw</v>
      </c>
      <c r="D783" s="9" t="str">
        <f>IFERROR(__xludf.DUMMYFUNCTION("""COMPUTED_VALUE"""),"桃園市立楊梅高級中等學校")</f>
        <v>桃園市立楊梅高級中等學校</v>
      </c>
      <c r="E783" s="9" t="str">
        <f>IFERROR(__xludf.DUMMYFUNCTION("""COMPUTED_VALUE"""),"普通科")</f>
        <v>普通科</v>
      </c>
      <c r="F783" s="9" t="str">
        <f>IFERROR(__xludf.DUMMYFUNCTION("""COMPUTED_VALUE"""),"三年級")</f>
        <v>三年級</v>
      </c>
      <c r="G783" s="10" t="str">
        <f>IFERROR(__xludf.DUMMYFUNCTION("""COMPUTED_VALUE"""),"獎狀")</f>
        <v>獎狀</v>
      </c>
      <c r="H783" s="9"/>
    </row>
    <row r="784">
      <c r="A784" s="5" t="s">
        <v>9</v>
      </c>
      <c r="B784" s="9" t="str">
        <f>IFERROR(__xludf.DUMMYFUNCTION("""COMPUTED_VALUE"""),"許O瑄")</f>
        <v>許O瑄</v>
      </c>
      <c r="C784" s="9" t="str">
        <f>IFERROR(__xludf.DUMMYFUNCTION("""COMPUTED_VALUE"""),"112*****@ymhs.tyc.edu.tw")</f>
        <v>112*****@ymhs.tyc.edu.tw</v>
      </c>
      <c r="D784" s="9" t="str">
        <f>IFERROR(__xludf.DUMMYFUNCTION("""COMPUTED_VALUE"""),"桃園市立楊梅高級中等學校")</f>
        <v>桃園市立楊梅高級中等學校</v>
      </c>
      <c r="E784" s="9" t="str">
        <f>IFERROR(__xludf.DUMMYFUNCTION("""COMPUTED_VALUE"""),"普通科")</f>
        <v>普通科</v>
      </c>
      <c r="F784" s="9" t="str">
        <f>IFERROR(__xludf.DUMMYFUNCTION("""COMPUTED_VALUE"""),"三年級")</f>
        <v>三年級</v>
      </c>
      <c r="G784" s="10" t="str">
        <f>IFERROR(__xludf.DUMMYFUNCTION("""COMPUTED_VALUE"""),"獎狀")</f>
        <v>獎狀</v>
      </c>
      <c r="H784" s="9"/>
    </row>
    <row r="785">
      <c r="A785" s="5" t="s">
        <v>9</v>
      </c>
      <c r="B785" s="9" t="str">
        <f>IFERROR(__xludf.DUMMYFUNCTION("""COMPUTED_VALUE"""),"潘O瑩")</f>
        <v>潘O瑩</v>
      </c>
      <c r="C785" s="9" t="str">
        <f>IFERROR(__xludf.DUMMYFUNCTION("""COMPUTED_VALUE"""),"112*****@ymhs.tyc.edu.tw")</f>
        <v>112*****@ymhs.tyc.edu.tw</v>
      </c>
      <c r="D785" s="9" t="str">
        <f>IFERROR(__xludf.DUMMYFUNCTION("""COMPUTED_VALUE"""),"桃園市立楊梅高級中等學校")</f>
        <v>桃園市立楊梅高級中等學校</v>
      </c>
      <c r="E785" s="9" t="str">
        <f>IFERROR(__xludf.DUMMYFUNCTION("""COMPUTED_VALUE"""),"普通科")</f>
        <v>普通科</v>
      </c>
      <c r="F785" s="9" t="str">
        <f>IFERROR(__xludf.DUMMYFUNCTION("""COMPUTED_VALUE"""),"三年級")</f>
        <v>三年級</v>
      </c>
      <c r="G785" s="10" t="str">
        <f>IFERROR(__xludf.DUMMYFUNCTION("""COMPUTED_VALUE"""),"■商品卡$200")</f>
        <v>■商品卡$200</v>
      </c>
      <c r="H785" s="9"/>
    </row>
    <row r="786">
      <c r="A786" s="5" t="s">
        <v>9</v>
      </c>
      <c r="B786" s="9" t="str">
        <f>IFERROR(__xludf.DUMMYFUNCTION("""COMPUTED_VALUE"""),"劉O妮")</f>
        <v>劉O妮</v>
      </c>
      <c r="C786" s="9" t="str">
        <f>IFERROR(__xludf.DUMMYFUNCTION("""COMPUTED_VALUE"""),"112*****@ymhs.tyc.edu.tw")</f>
        <v>112*****@ymhs.tyc.edu.tw</v>
      </c>
      <c r="D786" s="9" t="str">
        <f>IFERROR(__xludf.DUMMYFUNCTION("""COMPUTED_VALUE"""),"桃園市立楊梅高級中等學校")</f>
        <v>桃園市立楊梅高級中等學校</v>
      </c>
      <c r="E786" s="9" t="str">
        <f>IFERROR(__xludf.DUMMYFUNCTION("""COMPUTED_VALUE"""),"普通科")</f>
        <v>普通科</v>
      </c>
      <c r="F786" s="9" t="str">
        <f>IFERROR(__xludf.DUMMYFUNCTION("""COMPUTED_VALUE"""),"三年級")</f>
        <v>三年級</v>
      </c>
      <c r="G786" s="10" t="str">
        <f>IFERROR(__xludf.DUMMYFUNCTION("""COMPUTED_VALUE"""),"獎狀")</f>
        <v>獎狀</v>
      </c>
      <c r="H786" s="9"/>
    </row>
    <row r="787">
      <c r="A787" s="5" t="s">
        <v>9</v>
      </c>
      <c r="B787" s="9" t="str">
        <f>IFERROR(__xludf.DUMMYFUNCTION("""COMPUTED_VALUE"""),"丁O瑄")</f>
        <v>丁O瑄</v>
      </c>
      <c r="C787" s="9" t="str">
        <f>IFERROR(__xludf.DUMMYFUNCTION("""COMPUTED_VALUE"""),"112*****@ymhs.tyc.edu.tw")</f>
        <v>112*****@ymhs.tyc.edu.tw</v>
      </c>
      <c r="D787" s="9" t="str">
        <f>IFERROR(__xludf.DUMMYFUNCTION("""COMPUTED_VALUE"""),"桃園市立楊梅高級中等學校")</f>
        <v>桃園市立楊梅高級中等學校</v>
      </c>
      <c r="E787" s="9" t="str">
        <f>IFERROR(__xludf.DUMMYFUNCTION("""COMPUTED_VALUE"""),"普通科")</f>
        <v>普通科</v>
      </c>
      <c r="F787" s="9" t="str">
        <f>IFERROR(__xludf.DUMMYFUNCTION("""COMPUTED_VALUE"""),"三年級")</f>
        <v>三年級</v>
      </c>
      <c r="G787" s="10" t="str">
        <f>IFERROR(__xludf.DUMMYFUNCTION("""COMPUTED_VALUE"""),"獎狀")</f>
        <v>獎狀</v>
      </c>
      <c r="H787" s="9"/>
    </row>
    <row r="788">
      <c r="A788" s="5" t="s">
        <v>9</v>
      </c>
      <c r="B788" s="9" t="str">
        <f>IFERROR(__xludf.DUMMYFUNCTION("""COMPUTED_VALUE"""),"林O葦")</f>
        <v>林O葦</v>
      </c>
      <c r="C788" s="9" t="str">
        <f>IFERROR(__xludf.DUMMYFUNCTION("""COMPUTED_VALUE"""),"112*****@ymhs.tyc.edu.tw")</f>
        <v>112*****@ymhs.tyc.edu.tw</v>
      </c>
      <c r="D788" s="9" t="str">
        <f>IFERROR(__xludf.DUMMYFUNCTION("""COMPUTED_VALUE"""),"桃園市立楊梅高級中等學校")</f>
        <v>桃園市立楊梅高級中等學校</v>
      </c>
      <c r="E788" s="9" t="str">
        <f>IFERROR(__xludf.DUMMYFUNCTION("""COMPUTED_VALUE"""),"普通科")</f>
        <v>普通科</v>
      </c>
      <c r="F788" s="9" t="str">
        <f>IFERROR(__xludf.DUMMYFUNCTION("""COMPUTED_VALUE"""),"三年級")</f>
        <v>三年級</v>
      </c>
      <c r="G788" s="10" t="str">
        <f>IFERROR(__xludf.DUMMYFUNCTION("""COMPUTED_VALUE"""),"獎狀")</f>
        <v>獎狀</v>
      </c>
      <c r="H788" s="9"/>
    </row>
    <row r="789">
      <c r="A789" s="5" t="s">
        <v>9</v>
      </c>
      <c r="B789" s="9" t="str">
        <f>IFERROR(__xludf.DUMMYFUNCTION("""COMPUTED_VALUE"""),"劉O婕")</f>
        <v>劉O婕</v>
      </c>
      <c r="C789" s="9" t="str">
        <f>IFERROR(__xludf.DUMMYFUNCTION("""COMPUTED_VALUE"""),"112*****@ymhs.tyc.edu.tw")</f>
        <v>112*****@ymhs.tyc.edu.tw</v>
      </c>
      <c r="D789" s="9" t="str">
        <f>IFERROR(__xludf.DUMMYFUNCTION("""COMPUTED_VALUE"""),"桃園市立楊梅高級中等學校")</f>
        <v>桃園市立楊梅高級中等學校</v>
      </c>
      <c r="E789" s="9" t="str">
        <f>IFERROR(__xludf.DUMMYFUNCTION("""COMPUTED_VALUE"""),"普通科")</f>
        <v>普通科</v>
      </c>
      <c r="F789" s="9" t="str">
        <f>IFERROR(__xludf.DUMMYFUNCTION("""COMPUTED_VALUE"""),"三年級")</f>
        <v>三年級</v>
      </c>
      <c r="G789" s="10" t="str">
        <f>IFERROR(__xludf.DUMMYFUNCTION("""COMPUTED_VALUE"""),"獎狀")</f>
        <v>獎狀</v>
      </c>
      <c r="H789" s="9"/>
    </row>
    <row r="790">
      <c r="A790" s="5" t="s">
        <v>9</v>
      </c>
      <c r="B790" s="9" t="str">
        <f>IFERROR(__xludf.DUMMYFUNCTION("""COMPUTED_VALUE"""),"張O菱")</f>
        <v>張O菱</v>
      </c>
      <c r="C790" s="9" t="str">
        <f>IFERROR(__xludf.DUMMYFUNCTION("""COMPUTED_VALUE"""),"112*****@ymhs.tyc.edu.tw")</f>
        <v>112*****@ymhs.tyc.edu.tw</v>
      </c>
      <c r="D790" s="9" t="str">
        <f>IFERROR(__xludf.DUMMYFUNCTION("""COMPUTED_VALUE"""),"桃園市立楊梅高級中等學校")</f>
        <v>桃園市立楊梅高級中等學校</v>
      </c>
      <c r="E790" s="9" t="str">
        <f>IFERROR(__xludf.DUMMYFUNCTION("""COMPUTED_VALUE"""),"普通科")</f>
        <v>普通科</v>
      </c>
      <c r="F790" s="9" t="str">
        <f>IFERROR(__xludf.DUMMYFUNCTION("""COMPUTED_VALUE"""),"三年級")</f>
        <v>三年級</v>
      </c>
      <c r="G790" s="10" t="str">
        <f>IFERROR(__xludf.DUMMYFUNCTION("""COMPUTED_VALUE"""),"獎狀")</f>
        <v>獎狀</v>
      </c>
      <c r="H790" s="9"/>
    </row>
    <row r="791">
      <c r="A791" s="5" t="s">
        <v>9</v>
      </c>
      <c r="B791" s="9" t="str">
        <f>IFERROR(__xludf.DUMMYFUNCTION("""COMPUTED_VALUE"""),"葉O綺")</f>
        <v>葉O綺</v>
      </c>
      <c r="C791" s="9" t="str">
        <f>IFERROR(__xludf.DUMMYFUNCTION("""COMPUTED_VALUE"""),"112*****@ymhs.tyc.edu.tw")</f>
        <v>112*****@ymhs.tyc.edu.tw</v>
      </c>
      <c r="D791" s="9" t="str">
        <f>IFERROR(__xludf.DUMMYFUNCTION("""COMPUTED_VALUE"""),"桃園市立楊梅高級中等學校")</f>
        <v>桃園市立楊梅高級中等學校</v>
      </c>
      <c r="E791" s="9" t="str">
        <f>IFERROR(__xludf.DUMMYFUNCTION("""COMPUTED_VALUE"""),"普通科")</f>
        <v>普通科</v>
      </c>
      <c r="F791" s="9" t="str">
        <f>IFERROR(__xludf.DUMMYFUNCTION("""COMPUTED_VALUE"""),"三年級")</f>
        <v>三年級</v>
      </c>
      <c r="G791" s="10" t="str">
        <f>IFERROR(__xludf.DUMMYFUNCTION("""COMPUTED_VALUE"""),"獎狀")</f>
        <v>獎狀</v>
      </c>
      <c r="H791" s="9"/>
    </row>
    <row r="792">
      <c r="A792" s="5" t="s">
        <v>9</v>
      </c>
      <c r="B792" s="9" t="str">
        <f>IFERROR(__xludf.DUMMYFUNCTION("""COMPUTED_VALUE"""),"顏O涵")</f>
        <v>顏O涵</v>
      </c>
      <c r="C792" s="9" t="str">
        <f>IFERROR(__xludf.DUMMYFUNCTION("""COMPUTED_VALUE"""),"112*****@ymhs.tyc.edu.tw")</f>
        <v>112*****@ymhs.tyc.edu.tw</v>
      </c>
      <c r="D792" s="9" t="str">
        <f>IFERROR(__xludf.DUMMYFUNCTION("""COMPUTED_VALUE"""),"桃園市立楊梅高級中等學校")</f>
        <v>桃園市立楊梅高級中等學校</v>
      </c>
      <c r="E792" s="9" t="str">
        <f>IFERROR(__xludf.DUMMYFUNCTION("""COMPUTED_VALUE"""),"普通科")</f>
        <v>普通科</v>
      </c>
      <c r="F792" s="9" t="str">
        <f>IFERROR(__xludf.DUMMYFUNCTION("""COMPUTED_VALUE"""),"三年級")</f>
        <v>三年級</v>
      </c>
      <c r="G792" s="10" t="str">
        <f>IFERROR(__xludf.DUMMYFUNCTION("""COMPUTED_VALUE"""),"獎狀")</f>
        <v>獎狀</v>
      </c>
      <c r="H792" s="9"/>
    </row>
    <row r="793">
      <c r="A793" s="5" t="s">
        <v>9</v>
      </c>
      <c r="B793" s="9" t="str">
        <f>IFERROR(__xludf.DUMMYFUNCTION("""COMPUTED_VALUE"""),"鄒O晏")</f>
        <v>鄒O晏</v>
      </c>
      <c r="C793" s="9" t="str">
        <f>IFERROR(__xludf.DUMMYFUNCTION("""COMPUTED_VALUE"""),"112*****@ymhs.tyc.edu.tw")</f>
        <v>112*****@ymhs.tyc.edu.tw</v>
      </c>
      <c r="D793" s="9" t="str">
        <f>IFERROR(__xludf.DUMMYFUNCTION("""COMPUTED_VALUE"""),"桃園市立楊梅高級中等學校")</f>
        <v>桃園市立楊梅高級中等學校</v>
      </c>
      <c r="E793" s="9" t="str">
        <f>IFERROR(__xludf.DUMMYFUNCTION("""COMPUTED_VALUE"""),"普通科")</f>
        <v>普通科</v>
      </c>
      <c r="F793" s="9" t="str">
        <f>IFERROR(__xludf.DUMMYFUNCTION("""COMPUTED_VALUE"""),"三年級")</f>
        <v>三年級</v>
      </c>
      <c r="G793" s="10" t="str">
        <f>IFERROR(__xludf.DUMMYFUNCTION("""COMPUTED_VALUE"""),"獎狀")</f>
        <v>獎狀</v>
      </c>
      <c r="H793" s="9"/>
    </row>
    <row r="794">
      <c r="A794" s="5" t="s">
        <v>9</v>
      </c>
      <c r="B794" s="9" t="str">
        <f>IFERROR(__xludf.DUMMYFUNCTION("""COMPUTED_VALUE"""),"張O穎")</f>
        <v>張O穎</v>
      </c>
      <c r="C794" s="9" t="str">
        <f>IFERROR(__xludf.DUMMYFUNCTION("""COMPUTED_VALUE"""),"112*****@ymhs.tyc.edu.tw")</f>
        <v>112*****@ymhs.tyc.edu.tw</v>
      </c>
      <c r="D794" s="9" t="str">
        <f>IFERROR(__xludf.DUMMYFUNCTION("""COMPUTED_VALUE"""),"桃園市立楊梅高級中等學校")</f>
        <v>桃園市立楊梅高級中等學校</v>
      </c>
      <c r="E794" s="9" t="str">
        <f>IFERROR(__xludf.DUMMYFUNCTION("""COMPUTED_VALUE"""),"普通科")</f>
        <v>普通科</v>
      </c>
      <c r="F794" s="9" t="str">
        <f>IFERROR(__xludf.DUMMYFUNCTION("""COMPUTED_VALUE"""),"三年級")</f>
        <v>三年級</v>
      </c>
      <c r="G794" s="10" t="str">
        <f>IFERROR(__xludf.DUMMYFUNCTION("""COMPUTED_VALUE"""),"獎狀")</f>
        <v>獎狀</v>
      </c>
      <c r="H794" s="9"/>
    </row>
    <row r="795">
      <c r="A795" s="5" t="s">
        <v>9</v>
      </c>
      <c r="B795" s="9" t="str">
        <f>IFERROR(__xludf.DUMMYFUNCTION("""COMPUTED_VALUE"""),"彭O寶")</f>
        <v>彭O寶</v>
      </c>
      <c r="C795" s="9" t="str">
        <f>IFERROR(__xludf.DUMMYFUNCTION("""COMPUTED_VALUE"""),"112*****@ymhs.tyc.edu.tw")</f>
        <v>112*****@ymhs.tyc.edu.tw</v>
      </c>
      <c r="D795" s="9" t="str">
        <f>IFERROR(__xludf.DUMMYFUNCTION("""COMPUTED_VALUE"""),"桃園市立楊梅高級中等學校")</f>
        <v>桃園市立楊梅高級中等學校</v>
      </c>
      <c r="E795" s="9" t="str">
        <f>IFERROR(__xludf.DUMMYFUNCTION("""COMPUTED_VALUE"""),"普通科")</f>
        <v>普通科</v>
      </c>
      <c r="F795" s="9" t="str">
        <f>IFERROR(__xludf.DUMMYFUNCTION("""COMPUTED_VALUE"""),"三年級")</f>
        <v>三年級</v>
      </c>
      <c r="G795" s="10" t="str">
        <f>IFERROR(__xludf.DUMMYFUNCTION("""COMPUTED_VALUE"""),"獎狀")</f>
        <v>獎狀</v>
      </c>
      <c r="H795" s="11"/>
    </row>
    <row r="796">
      <c r="A796" s="5" t="s">
        <v>9</v>
      </c>
      <c r="B796" s="9" t="str">
        <f>IFERROR(__xludf.DUMMYFUNCTION("""COMPUTED_VALUE"""),"許O菲")</f>
        <v>許O菲</v>
      </c>
      <c r="C796" s="9" t="str">
        <f>IFERROR(__xludf.DUMMYFUNCTION("""COMPUTED_VALUE"""),"sop*****u0911@mail.edu.tw")</f>
        <v>sop*****u0911@mail.edu.tw</v>
      </c>
      <c r="D796" s="9" t="str">
        <f>IFERROR(__xludf.DUMMYFUNCTION("""COMPUTED_VALUE"""),"桃園市立武陵高級中等學校")</f>
        <v>桃園市立武陵高級中等學校</v>
      </c>
      <c r="E796" s="9" t="str">
        <f>IFERROR(__xludf.DUMMYFUNCTION("""COMPUTED_VALUE"""),"普通科")</f>
        <v>普通科</v>
      </c>
      <c r="F796" s="9" t="str">
        <f>IFERROR(__xludf.DUMMYFUNCTION("""COMPUTED_VALUE"""),"一年級")</f>
        <v>一年級</v>
      </c>
      <c r="G796" s="10" t="str">
        <f>IFERROR(__xludf.DUMMYFUNCTION("""COMPUTED_VALUE"""),"獎狀")</f>
        <v>獎狀</v>
      </c>
      <c r="H796" s="11"/>
    </row>
    <row r="797">
      <c r="A797" s="5" t="s">
        <v>9</v>
      </c>
      <c r="B797" s="9" t="str">
        <f>IFERROR(__xludf.DUMMYFUNCTION("""COMPUTED_VALUE"""),"胡O琍")</f>
        <v>胡O琍</v>
      </c>
      <c r="C797" s="9" t="str">
        <f>IFERROR(__xludf.DUMMYFUNCTION("""COMPUTED_VALUE"""),"310*****mail.wlsh.tyc.edu.tw")</f>
        <v>310*****mail.wlsh.tyc.edu.tw</v>
      </c>
      <c r="D797" s="9" t="str">
        <f>IFERROR(__xludf.DUMMYFUNCTION("""COMPUTED_VALUE"""),"桃園市立武陵高級中等學校")</f>
        <v>桃園市立武陵高級中等學校</v>
      </c>
      <c r="E797" s="9" t="str">
        <f>IFERROR(__xludf.DUMMYFUNCTION("""COMPUTED_VALUE"""),"普通科")</f>
        <v>普通科</v>
      </c>
      <c r="F797" s="9" t="str">
        <f>IFERROR(__xludf.DUMMYFUNCTION("""COMPUTED_VALUE"""),"二年級")</f>
        <v>二年級</v>
      </c>
      <c r="G797" s="10" t="str">
        <f>IFERROR(__xludf.DUMMYFUNCTION("""COMPUTED_VALUE"""),"獎狀")</f>
        <v>獎狀</v>
      </c>
      <c r="H797" s="9"/>
    </row>
    <row r="798">
      <c r="A798" s="5" t="s">
        <v>9</v>
      </c>
      <c r="B798" s="9" t="str">
        <f>IFERROR(__xludf.DUMMYFUNCTION("""COMPUTED_VALUE"""),"余O賢")</f>
        <v>余O賢</v>
      </c>
      <c r="C798" s="9" t="str">
        <f>IFERROR(__xludf.DUMMYFUNCTION("""COMPUTED_VALUE"""),"sir*****@gmail.com")</f>
        <v>sir*****@gmail.com</v>
      </c>
      <c r="D798" s="9" t="str">
        <f>IFERROR(__xludf.DUMMYFUNCTION("""COMPUTED_VALUE"""),"桃園市立武陵高級中等學校")</f>
        <v>桃園市立武陵高級中等學校</v>
      </c>
      <c r="E798" s="9" t="str">
        <f>IFERROR(__xludf.DUMMYFUNCTION("""COMPUTED_VALUE"""),"普通科")</f>
        <v>普通科</v>
      </c>
      <c r="F798" s="9" t="str">
        <f>IFERROR(__xludf.DUMMYFUNCTION("""COMPUTED_VALUE"""),"二年級")</f>
        <v>二年級</v>
      </c>
      <c r="G798" s="10" t="str">
        <f>IFERROR(__xludf.DUMMYFUNCTION("""COMPUTED_VALUE"""),"獎狀")</f>
        <v>獎狀</v>
      </c>
      <c r="H798" s="11"/>
    </row>
    <row r="799">
      <c r="A799" s="5" t="s">
        <v>9</v>
      </c>
      <c r="B799" s="9" t="str">
        <f>IFERROR(__xludf.DUMMYFUNCTION("""COMPUTED_VALUE"""),"蔡O騫")</f>
        <v>蔡O騫</v>
      </c>
      <c r="C799" s="9" t="str">
        <f>IFERROR(__xludf.DUMMYFUNCTION("""COMPUTED_VALUE"""),"che*****loveme@gmail.com")</f>
        <v>che*****loveme@gmail.com</v>
      </c>
      <c r="D799" s="9" t="str">
        <f>IFERROR(__xludf.DUMMYFUNCTION("""COMPUTED_VALUE"""),"桃園市立桃園高級中等學校")</f>
        <v>桃園市立桃園高級中等學校</v>
      </c>
      <c r="E799" s="9" t="str">
        <f>IFERROR(__xludf.DUMMYFUNCTION("""COMPUTED_VALUE"""),"普通科")</f>
        <v>普通科</v>
      </c>
      <c r="F799" s="9" t="str">
        <f>IFERROR(__xludf.DUMMYFUNCTION("""COMPUTED_VALUE"""),"一年級")</f>
        <v>一年級</v>
      </c>
      <c r="G799" s="10" t="str">
        <f>IFERROR(__xludf.DUMMYFUNCTION("""COMPUTED_VALUE"""),"獎狀")</f>
        <v>獎狀</v>
      </c>
      <c r="H799" s="11"/>
    </row>
    <row r="800">
      <c r="A800" s="5" t="s">
        <v>9</v>
      </c>
      <c r="B800" s="9" t="str">
        <f>IFERROR(__xludf.DUMMYFUNCTION("""COMPUTED_VALUE"""),"曾O潔")</f>
        <v>曾O潔</v>
      </c>
      <c r="C800" s="9" t="str">
        <f>IFERROR(__xludf.DUMMYFUNCTION("""COMPUTED_VALUE"""),"jie*****1@gmail.com")</f>
        <v>jie*****1@gmail.com</v>
      </c>
      <c r="D800" s="9" t="str">
        <f>IFERROR(__xludf.DUMMYFUNCTION("""COMPUTED_VALUE"""),"桃園市立桃園高級中等學校")</f>
        <v>桃園市立桃園高級中等學校</v>
      </c>
      <c r="E800" s="9" t="str">
        <f>IFERROR(__xludf.DUMMYFUNCTION("""COMPUTED_VALUE"""),"普通科")</f>
        <v>普通科</v>
      </c>
      <c r="F800" s="9" t="str">
        <f>IFERROR(__xludf.DUMMYFUNCTION("""COMPUTED_VALUE"""),"一年級")</f>
        <v>一年級</v>
      </c>
      <c r="G800" s="10" t="str">
        <f>IFERROR(__xludf.DUMMYFUNCTION("""COMPUTED_VALUE"""),"獎狀")</f>
        <v>獎狀</v>
      </c>
      <c r="H800" s="11"/>
    </row>
    <row r="801">
      <c r="A801" s="5" t="s">
        <v>9</v>
      </c>
      <c r="B801" s="9" t="str">
        <f>IFERROR(__xludf.DUMMYFUNCTION("""COMPUTED_VALUE"""),"張O華")</f>
        <v>張O華</v>
      </c>
      <c r="C801" s="9" t="str">
        <f>IFERROR(__xludf.DUMMYFUNCTION("""COMPUTED_VALUE"""),"ger*****07@gmail.com")</f>
        <v>ger*****07@gmail.com</v>
      </c>
      <c r="D801" s="9" t="str">
        <f>IFERROR(__xludf.DUMMYFUNCTION("""COMPUTED_VALUE"""),"桃園市立桃園高級中等學校")</f>
        <v>桃園市立桃園高級中等學校</v>
      </c>
      <c r="E801" s="9" t="str">
        <f>IFERROR(__xludf.DUMMYFUNCTION("""COMPUTED_VALUE"""),"普通科")</f>
        <v>普通科</v>
      </c>
      <c r="F801" s="9" t="str">
        <f>IFERROR(__xludf.DUMMYFUNCTION("""COMPUTED_VALUE"""),"二年級")</f>
        <v>二年級</v>
      </c>
      <c r="G801" s="10" t="str">
        <f>IFERROR(__xludf.DUMMYFUNCTION("""COMPUTED_VALUE"""),"獎狀")</f>
        <v>獎狀</v>
      </c>
      <c r="H801" s="11"/>
    </row>
    <row r="802">
      <c r="A802" s="5" t="s">
        <v>9</v>
      </c>
      <c r="B802" s="9" t="str">
        <f>IFERROR(__xludf.DUMMYFUNCTION("""COMPUTED_VALUE"""),"游O淇")</f>
        <v>游O淇</v>
      </c>
      <c r="C802" s="9" t="str">
        <f>IFERROR(__xludf.DUMMYFUNCTION("""COMPUTED_VALUE"""),"tyc*****43@mail.edu.tw")</f>
        <v>tyc*****43@mail.edu.tw</v>
      </c>
      <c r="D802" s="9" t="str">
        <f>IFERROR(__xludf.DUMMYFUNCTION("""COMPUTED_VALUE"""),"桃園市立陽明高級中等學校")</f>
        <v>桃園市立陽明高級中等學校</v>
      </c>
      <c r="E802" s="9" t="str">
        <f>IFERROR(__xludf.DUMMYFUNCTION("""COMPUTED_VALUE"""),"普通科")</f>
        <v>普通科</v>
      </c>
      <c r="F802" s="9" t="str">
        <f>IFERROR(__xludf.DUMMYFUNCTION("""COMPUTED_VALUE"""),"一年級")</f>
        <v>一年級</v>
      </c>
      <c r="G802" s="10" t="str">
        <f>IFERROR(__xludf.DUMMYFUNCTION("""COMPUTED_VALUE"""),"獎狀")</f>
        <v>獎狀</v>
      </c>
      <c r="H802" s="11"/>
    </row>
    <row r="803">
      <c r="A803" s="5" t="s">
        <v>9</v>
      </c>
      <c r="B803" s="9" t="str">
        <f>IFERROR(__xludf.DUMMYFUNCTION("""COMPUTED_VALUE"""),"吳O逸")</f>
        <v>吳O逸</v>
      </c>
      <c r="C803" s="9" t="str">
        <f>IFERROR(__xludf.DUMMYFUNCTION("""COMPUTED_VALUE"""),"znl*****@gmail.com")</f>
        <v>znl*****@gmail.com</v>
      </c>
      <c r="D803" s="9" t="str">
        <f>IFERROR(__xludf.DUMMYFUNCTION("""COMPUTED_VALUE"""),"桃園市立陽明高級中等學校")</f>
        <v>桃園市立陽明高級中等學校</v>
      </c>
      <c r="E803" s="9" t="str">
        <f>IFERROR(__xludf.DUMMYFUNCTION("""COMPUTED_VALUE"""),"普通科")</f>
        <v>普通科</v>
      </c>
      <c r="F803" s="9" t="str">
        <f>IFERROR(__xludf.DUMMYFUNCTION("""COMPUTED_VALUE"""),"一年級")</f>
        <v>一年級</v>
      </c>
      <c r="G803" s="10" t="str">
        <f>IFERROR(__xludf.DUMMYFUNCTION("""COMPUTED_VALUE"""),"獎狀")</f>
        <v>獎狀</v>
      </c>
      <c r="H803" s="11" t="str">
        <f>IFERROR(__xludf.DUMMYFUNCTION("""COMPUTED_VALUE"""),"學籍資料不齊，請提供【就讀班級】")</f>
        <v>學籍資料不齊，請提供【就讀班級】</v>
      </c>
    </row>
    <row r="804">
      <c r="A804" s="5" t="s">
        <v>9</v>
      </c>
      <c r="B804" s="9" t="str">
        <f>IFERROR(__xludf.DUMMYFUNCTION("""COMPUTED_VALUE"""),"劉O瑄")</f>
        <v>劉O瑄</v>
      </c>
      <c r="C804" s="9" t="str">
        <f>IFERROR(__xludf.DUMMYFUNCTION("""COMPUTED_VALUE"""),"tc1*****3@tcjhs.tyc.edu.tw")</f>
        <v>tc1*****3@tcjhs.tyc.edu.tw</v>
      </c>
      <c r="D804" s="9" t="str">
        <f>IFERROR(__xludf.DUMMYFUNCTION("""COMPUTED_VALUE"""),"桃園市立壽山高級中等學校")</f>
        <v>桃園市立壽山高級中等學校</v>
      </c>
      <c r="E804" s="9" t="str">
        <f>IFERROR(__xludf.DUMMYFUNCTION("""COMPUTED_VALUE"""),"普通科")</f>
        <v>普通科</v>
      </c>
      <c r="F804" s="9" t="str">
        <f>IFERROR(__xludf.DUMMYFUNCTION("""COMPUTED_VALUE"""),"一年級")</f>
        <v>一年級</v>
      </c>
      <c r="G804" s="10" t="str">
        <f>IFERROR(__xludf.DUMMYFUNCTION("""COMPUTED_VALUE"""),"獎狀")</f>
        <v>獎狀</v>
      </c>
      <c r="H804" s="11"/>
    </row>
    <row r="805">
      <c r="A805" s="5" t="s">
        <v>9</v>
      </c>
      <c r="B805" s="9" t="str">
        <f>IFERROR(__xludf.DUMMYFUNCTION("""COMPUTED_VALUE"""),"鍾O佑")</f>
        <v>鍾O佑</v>
      </c>
      <c r="C805" s="9" t="str">
        <f>IFERROR(__xludf.DUMMYFUNCTION("""COMPUTED_VALUE"""),"211*****ssh.tyc.edu.tw")</f>
        <v>211*****ssh.tyc.edu.tw</v>
      </c>
      <c r="D805" s="9" t="str">
        <f>IFERROR(__xludf.DUMMYFUNCTION("""COMPUTED_VALUE"""),"桃園市立壽山高級中等學校")</f>
        <v>桃園市立壽山高級中等學校</v>
      </c>
      <c r="E805" s="9" t="str">
        <f>IFERROR(__xludf.DUMMYFUNCTION("""COMPUTED_VALUE"""),"普通科")</f>
        <v>普通科</v>
      </c>
      <c r="F805" s="9" t="str">
        <f>IFERROR(__xludf.DUMMYFUNCTION("""COMPUTED_VALUE"""),"二年級")</f>
        <v>二年級</v>
      </c>
      <c r="G805" s="10" t="str">
        <f>IFERROR(__xludf.DUMMYFUNCTION("""COMPUTED_VALUE"""),"獎狀")</f>
        <v>獎狀</v>
      </c>
      <c r="H805" s="9"/>
    </row>
    <row r="806">
      <c r="A806" s="5" t="s">
        <v>9</v>
      </c>
      <c r="B806" s="9" t="str">
        <f>IFERROR(__xludf.DUMMYFUNCTION("""COMPUTED_VALUE"""),"蘇O甯")</f>
        <v>蘇O甯</v>
      </c>
      <c r="C806" s="9" t="str">
        <f>IFERROR(__xludf.DUMMYFUNCTION("""COMPUTED_VALUE"""),"211*****ssh.tyc.edu.tw")</f>
        <v>211*****ssh.tyc.edu.tw</v>
      </c>
      <c r="D806" s="9" t="str">
        <f>IFERROR(__xludf.DUMMYFUNCTION("""COMPUTED_VALUE"""),"桃園市立壽山高級中等學校")</f>
        <v>桃園市立壽山高級中等學校</v>
      </c>
      <c r="E806" s="9" t="str">
        <f>IFERROR(__xludf.DUMMYFUNCTION("""COMPUTED_VALUE"""),"普通科")</f>
        <v>普通科</v>
      </c>
      <c r="F806" s="9" t="str">
        <f>IFERROR(__xludf.DUMMYFUNCTION("""COMPUTED_VALUE"""),"二年級")</f>
        <v>二年級</v>
      </c>
      <c r="G806" s="10" t="str">
        <f>IFERROR(__xludf.DUMMYFUNCTION("""COMPUTED_VALUE"""),"★商品卡$1000")</f>
        <v>★商品卡$1000</v>
      </c>
      <c r="H806" s="9"/>
    </row>
    <row r="807">
      <c r="A807" s="5" t="s">
        <v>9</v>
      </c>
      <c r="B807" s="9" t="str">
        <f>IFERROR(__xludf.DUMMYFUNCTION("""COMPUTED_VALUE"""),"李O琳")</f>
        <v>李O琳</v>
      </c>
      <c r="C807" s="9" t="str">
        <f>IFERROR(__xludf.DUMMYFUNCTION("""COMPUTED_VALUE"""),"211*****ssh.tyc.edu.tw")</f>
        <v>211*****ssh.tyc.edu.tw</v>
      </c>
      <c r="D807" s="9" t="str">
        <f>IFERROR(__xludf.DUMMYFUNCTION("""COMPUTED_VALUE"""),"桃園市立壽山高級中等學校")</f>
        <v>桃園市立壽山高級中等學校</v>
      </c>
      <c r="E807" s="9" t="str">
        <f>IFERROR(__xludf.DUMMYFUNCTION("""COMPUTED_VALUE"""),"普通科")</f>
        <v>普通科</v>
      </c>
      <c r="F807" s="9" t="str">
        <f>IFERROR(__xludf.DUMMYFUNCTION("""COMPUTED_VALUE"""),"二年級")</f>
        <v>二年級</v>
      </c>
      <c r="G807" s="10" t="str">
        <f>IFERROR(__xludf.DUMMYFUNCTION("""COMPUTED_VALUE"""),"獎狀")</f>
        <v>獎狀</v>
      </c>
      <c r="H807" s="9"/>
    </row>
    <row r="808">
      <c r="A808" s="5" t="s">
        <v>9</v>
      </c>
      <c r="B808" s="9" t="str">
        <f>IFERROR(__xludf.DUMMYFUNCTION("""COMPUTED_VALUE"""),"康O嘉")</f>
        <v>康O嘉</v>
      </c>
      <c r="C808" s="9" t="str">
        <f>IFERROR(__xludf.DUMMYFUNCTION("""COMPUTED_VALUE"""),"211*****ssh.tyc.edu.tw")</f>
        <v>211*****ssh.tyc.edu.tw</v>
      </c>
      <c r="D808" s="9" t="str">
        <f>IFERROR(__xludf.DUMMYFUNCTION("""COMPUTED_VALUE"""),"桃園市立壽山高級中等學校")</f>
        <v>桃園市立壽山高級中等學校</v>
      </c>
      <c r="E808" s="9" t="str">
        <f>IFERROR(__xludf.DUMMYFUNCTION("""COMPUTED_VALUE"""),"普通科")</f>
        <v>普通科</v>
      </c>
      <c r="F808" s="9" t="str">
        <f>IFERROR(__xludf.DUMMYFUNCTION("""COMPUTED_VALUE"""),"二年級")</f>
        <v>二年級</v>
      </c>
      <c r="G808" s="10" t="str">
        <f>IFERROR(__xludf.DUMMYFUNCTION("""COMPUTED_VALUE"""),"獎狀")</f>
        <v>獎狀</v>
      </c>
      <c r="H808" s="9"/>
    </row>
    <row r="809">
      <c r="A809" s="5" t="s">
        <v>9</v>
      </c>
      <c r="B809" s="9" t="str">
        <f>IFERROR(__xludf.DUMMYFUNCTION("""COMPUTED_VALUE"""),"陳O諺")</f>
        <v>陳O諺</v>
      </c>
      <c r="C809" s="9" t="str">
        <f>IFERROR(__xludf.DUMMYFUNCTION("""COMPUTED_VALUE"""),"211*****ssh.tyc.edu.tw")</f>
        <v>211*****ssh.tyc.edu.tw</v>
      </c>
      <c r="D809" s="9" t="str">
        <f>IFERROR(__xludf.DUMMYFUNCTION("""COMPUTED_VALUE"""),"桃園市立壽山高級中等學校")</f>
        <v>桃園市立壽山高級中等學校</v>
      </c>
      <c r="E809" s="9" t="str">
        <f>IFERROR(__xludf.DUMMYFUNCTION("""COMPUTED_VALUE"""),"普通科")</f>
        <v>普通科</v>
      </c>
      <c r="F809" s="9" t="str">
        <f>IFERROR(__xludf.DUMMYFUNCTION("""COMPUTED_VALUE"""),"二年級")</f>
        <v>二年級</v>
      </c>
      <c r="G809" s="10" t="str">
        <f>IFERROR(__xludf.DUMMYFUNCTION("""COMPUTED_VALUE"""),"獎狀")</f>
        <v>獎狀</v>
      </c>
      <c r="H809" s="9"/>
    </row>
    <row r="810">
      <c r="A810" s="5" t="s">
        <v>9</v>
      </c>
      <c r="B810" s="9" t="str">
        <f>IFERROR(__xludf.DUMMYFUNCTION("""COMPUTED_VALUE"""),"王O妮")</f>
        <v>王O妮</v>
      </c>
      <c r="C810" s="9" t="str">
        <f>IFERROR(__xludf.DUMMYFUNCTION("""COMPUTED_VALUE"""),"211*****ssh.tyc.edu.tw")</f>
        <v>211*****ssh.tyc.edu.tw</v>
      </c>
      <c r="D810" s="9" t="str">
        <f>IFERROR(__xludf.DUMMYFUNCTION("""COMPUTED_VALUE"""),"桃園市立壽山高級中等學校")</f>
        <v>桃園市立壽山高級中等學校</v>
      </c>
      <c r="E810" s="9" t="str">
        <f>IFERROR(__xludf.DUMMYFUNCTION("""COMPUTED_VALUE"""),"普通科")</f>
        <v>普通科</v>
      </c>
      <c r="F810" s="9" t="str">
        <f>IFERROR(__xludf.DUMMYFUNCTION("""COMPUTED_VALUE"""),"二年級")</f>
        <v>二年級</v>
      </c>
      <c r="G810" s="10" t="str">
        <f>IFERROR(__xludf.DUMMYFUNCTION("""COMPUTED_VALUE"""),"獎狀")</f>
        <v>獎狀</v>
      </c>
      <c r="H810" s="9"/>
    </row>
    <row r="811">
      <c r="A811" s="5" t="s">
        <v>9</v>
      </c>
      <c r="B811" s="9" t="str">
        <f>IFERROR(__xludf.DUMMYFUNCTION("""COMPUTED_VALUE"""),"周O綸")</f>
        <v>周O綸</v>
      </c>
      <c r="C811" s="9" t="str">
        <f>IFERROR(__xludf.DUMMYFUNCTION("""COMPUTED_VALUE"""),"211*****ssh.tyc.edu.tw")</f>
        <v>211*****ssh.tyc.edu.tw</v>
      </c>
      <c r="D811" s="9" t="str">
        <f>IFERROR(__xludf.DUMMYFUNCTION("""COMPUTED_VALUE"""),"桃園市立壽山高級中等學校")</f>
        <v>桃園市立壽山高級中等學校</v>
      </c>
      <c r="E811" s="9" t="str">
        <f>IFERROR(__xludf.DUMMYFUNCTION("""COMPUTED_VALUE"""),"普通科")</f>
        <v>普通科</v>
      </c>
      <c r="F811" s="9" t="str">
        <f>IFERROR(__xludf.DUMMYFUNCTION("""COMPUTED_VALUE"""),"二年級")</f>
        <v>二年級</v>
      </c>
      <c r="G811" s="10" t="str">
        <f>IFERROR(__xludf.DUMMYFUNCTION("""COMPUTED_VALUE"""),"獎狀")</f>
        <v>獎狀</v>
      </c>
      <c r="H811" s="9"/>
    </row>
    <row r="812">
      <c r="A812" s="5" t="s">
        <v>9</v>
      </c>
      <c r="B812" s="9" t="str">
        <f>IFERROR(__xludf.DUMMYFUNCTION("""COMPUTED_VALUE"""),"簡O祐")</f>
        <v>簡O祐</v>
      </c>
      <c r="C812" s="9" t="str">
        <f>IFERROR(__xludf.DUMMYFUNCTION("""COMPUTED_VALUE"""),"211*****ssh.tyc.edu.tw")</f>
        <v>211*****ssh.tyc.edu.tw</v>
      </c>
      <c r="D812" s="9" t="str">
        <f>IFERROR(__xludf.DUMMYFUNCTION("""COMPUTED_VALUE"""),"桃園市立壽山高級中等學校")</f>
        <v>桃園市立壽山高級中等學校</v>
      </c>
      <c r="E812" s="9" t="str">
        <f>IFERROR(__xludf.DUMMYFUNCTION("""COMPUTED_VALUE"""),"普通科")</f>
        <v>普通科</v>
      </c>
      <c r="F812" s="9" t="str">
        <f>IFERROR(__xludf.DUMMYFUNCTION("""COMPUTED_VALUE"""),"二年級")</f>
        <v>二年級</v>
      </c>
      <c r="G812" s="10" t="str">
        <f>IFERROR(__xludf.DUMMYFUNCTION("""COMPUTED_VALUE"""),"獎狀")</f>
        <v>獎狀</v>
      </c>
      <c r="H812" s="9"/>
    </row>
    <row r="813">
      <c r="A813" s="5" t="s">
        <v>9</v>
      </c>
      <c r="B813" s="9" t="str">
        <f>IFERROR(__xludf.DUMMYFUNCTION("""COMPUTED_VALUE"""),"關O凱")</f>
        <v>關O凱</v>
      </c>
      <c r="C813" s="9" t="str">
        <f>IFERROR(__xludf.DUMMYFUNCTION("""COMPUTED_VALUE"""),"211*****ssh.tyc.edu.tw")</f>
        <v>211*****ssh.tyc.edu.tw</v>
      </c>
      <c r="D813" s="9" t="str">
        <f>IFERROR(__xludf.DUMMYFUNCTION("""COMPUTED_VALUE"""),"桃園市立壽山高級中等學校")</f>
        <v>桃園市立壽山高級中等學校</v>
      </c>
      <c r="E813" s="9" t="str">
        <f>IFERROR(__xludf.DUMMYFUNCTION("""COMPUTED_VALUE"""),"普通科")</f>
        <v>普通科</v>
      </c>
      <c r="F813" s="9" t="str">
        <f>IFERROR(__xludf.DUMMYFUNCTION("""COMPUTED_VALUE"""),"二年級")</f>
        <v>二年級</v>
      </c>
      <c r="G813" s="10" t="str">
        <f>IFERROR(__xludf.DUMMYFUNCTION("""COMPUTED_VALUE"""),"獎狀")</f>
        <v>獎狀</v>
      </c>
      <c r="H813" s="9"/>
    </row>
    <row r="814">
      <c r="A814" s="5" t="s">
        <v>9</v>
      </c>
      <c r="B814" s="9" t="str">
        <f>IFERROR(__xludf.DUMMYFUNCTION("""COMPUTED_VALUE"""),"卓O丞")</f>
        <v>卓O丞</v>
      </c>
      <c r="C814" s="9" t="str">
        <f>IFERROR(__xludf.DUMMYFUNCTION("""COMPUTED_VALUE"""),"211*****ssh.tyc.edu.tw")</f>
        <v>211*****ssh.tyc.edu.tw</v>
      </c>
      <c r="D814" s="9" t="str">
        <f>IFERROR(__xludf.DUMMYFUNCTION("""COMPUTED_VALUE"""),"桃園市立壽山高級中等學校")</f>
        <v>桃園市立壽山高級中等學校</v>
      </c>
      <c r="E814" s="9" t="str">
        <f>IFERROR(__xludf.DUMMYFUNCTION("""COMPUTED_VALUE"""),"普通科")</f>
        <v>普通科</v>
      </c>
      <c r="F814" s="9" t="str">
        <f>IFERROR(__xludf.DUMMYFUNCTION("""COMPUTED_VALUE"""),"二年級")</f>
        <v>二年級</v>
      </c>
      <c r="G814" s="10" t="str">
        <f>IFERROR(__xludf.DUMMYFUNCTION("""COMPUTED_VALUE"""),"獎狀")</f>
        <v>獎狀</v>
      </c>
      <c r="H814" s="9"/>
    </row>
    <row r="815">
      <c r="A815" s="5" t="s">
        <v>9</v>
      </c>
      <c r="B815" s="9" t="str">
        <f>IFERROR(__xludf.DUMMYFUNCTION("""COMPUTED_VALUE"""),"呂O恩")</f>
        <v>呂O恩</v>
      </c>
      <c r="C815" s="9" t="str">
        <f>IFERROR(__xludf.DUMMYFUNCTION("""COMPUTED_VALUE"""),"211*****ssh.tyc.edu.tw")</f>
        <v>211*****ssh.tyc.edu.tw</v>
      </c>
      <c r="D815" s="9" t="str">
        <f>IFERROR(__xludf.DUMMYFUNCTION("""COMPUTED_VALUE"""),"桃園市立壽山高級中等學校")</f>
        <v>桃園市立壽山高級中等學校</v>
      </c>
      <c r="E815" s="9" t="str">
        <f>IFERROR(__xludf.DUMMYFUNCTION("""COMPUTED_VALUE"""),"普通科")</f>
        <v>普通科</v>
      </c>
      <c r="F815" s="9" t="str">
        <f>IFERROR(__xludf.DUMMYFUNCTION("""COMPUTED_VALUE"""),"二年級")</f>
        <v>二年級</v>
      </c>
      <c r="G815" s="10" t="str">
        <f>IFERROR(__xludf.DUMMYFUNCTION("""COMPUTED_VALUE"""),"獎狀")</f>
        <v>獎狀</v>
      </c>
      <c r="H815" s="9"/>
    </row>
    <row r="816">
      <c r="A816" s="5" t="s">
        <v>9</v>
      </c>
      <c r="B816" s="9" t="str">
        <f>IFERROR(__xludf.DUMMYFUNCTION("""COMPUTED_VALUE"""),"張O潔")</f>
        <v>張O潔</v>
      </c>
      <c r="C816" s="9" t="str">
        <f>IFERROR(__xludf.DUMMYFUNCTION("""COMPUTED_VALUE"""),"211*****ssh.tyc.edu.tw")</f>
        <v>211*****ssh.tyc.edu.tw</v>
      </c>
      <c r="D816" s="9" t="str">
        <f>IFERROR(__xludf.DUMMYFUNCTION("""COMPUTED_VALUE"""),"桃園市立壽山高級中等學校")</f>
        <v>桃園市立壽山高級中等學校</v>
      </c>
      <c r="E816" s="9" t="str">
        <f>IFERROR(__xludf.DUMMYFUNCTION("""COMPUTED_VALUE"""),"普通科")</f>
        <v>普通科</v>
      </c>
      <c r="F816" s="9" t="str">
        <f>IFERROR(__xludf.DUMMYFUNCTION("""COMPUTED_VALUE"""),"二年級")</f>
        <v>二年級</v>
      </c>
      <c r="G816" s="10" t="str">
        <f>IFERROR(__xludf.DUMMYFUNCTION("""COMPUTED_VALUE"""),"獎狀")</f>
        <v>獎狀</v>
      </c>
      <c r="H816" s="9"/>
    </row>
    <row r="817">
      <c r="A817" s="5" t="s">
        <v>9</v>
      </c>
      <c r="B817" s="9" t="str">
        <f>IFERROR(__xludf.DUMMYFUNCTION("""COMPUTED_VALUE"""),"李O妍")</f>
        <v>李O妍</v>
      </c>
      <c r="C817" s="9" t="str">
        <f>IFERROR(__xludf.DUMMYFUNCTION("""COMPUTED_VALUE"""),"gem*****.20071027@gmail.com")</f>
        <v>gem*****.20071027@gmail.com</v>
      </c>
      <c r="D817" s="9" t="str">
        <f>IFERROR(__xludf.DUMMYFUNCTION("""COMPUTED_VALUE"""),"新興學校財團法人桃園市新興高級中等學校")</f>
        <v>新興學校財團法人桃園市新興高級中等學校</v>
      </c>
      <c r="E817" s="9" t="str">
        <f>IFERROR(__xludf.DUMMYFUNCTION("""COMPUTED_VALUE"""),"普通科")</f>
        <v>普通科</v>
      </c>
      <c r="F817" s="9" t="str">
        <f>IFERROR(__xludf.DUMMYFUNCTION("""COMPUTED_VALUE"""),"三年級")</f>
        <v>三年級</v>
      </c>
      <c r="G817" s="10" t="str">
        <f>IFERROR(__xludf.DUMMYFUNCTION("""COMPUTED_VALUE"""),"獎狀")</f>
        <v>獎狀</v>
      </c>
      <c r="H817" s="9"/>
    </row>
    <row r="818">
      <c r="A818" s="5" t="s">
        <v>9</v>
      </c>
      <c r="B818" s="9" t="str">
        <f>IFERROR(__xludf.DUMMYFUNCTION("""COMPUTED_VALUE"""),"王O淯")</f>
        <v>王O淯</v>
      </c>
      <c r="C818" s="9" t="str">
        <f>IFERROR(__xludf.DUMMYFUNCTION("""COMPUTED_VALUE"""),"amy*****mail.edu.tw")</f>
        <v>amy*****mail.edu.tw</v>
      </c>
      <c r="D818" s="9" t="str">
        <f>IFERROR(__xludf.DUMMYFUNCTION("""COMPUTED_VALUE"""),"苗栗縣私立君毅高級中學")</f>
        <v>苗栗縣私立君毅高級中學</v>
      </c>
      <c r="E818" s="9" t="str">
        <f>IFERROR(__xludf.DUMMYFUNCTION("""COMPUTED_VALUE"""),"普通科")</f>
        <v>普通科</v>
      </c>
      <c r="F818" s="9" t="str">
        <f>IFERROR(__xludf.DUMMYFUNCTION("""COMPUTED_VALUE"""),"二年級")</f>
        <v>二年級</v>
      </c>
      <c r="G818" s="10" t="str">
        <f>IFERROR(__xludf.DUMMYFUNCTION("""COMPUTED_VALUE"""),"獎狀")</f>
        <v>獎狀</v>
      </c>
      <c r="H818" s="9"/>
    </row>
    <row r="819">
      <c r="A819" s="5" t="s">
        <v>9</v>
      </c>
      <c r="B819" s="9" t="str">
        <f>IFERROR(__xludf.DUMMYFUNCTION("""COMPUTED_VALUE"""),"謝O宇")</f>
        <v>謝O宇</v>
      </c>
      <c r="C819" s="9" t="str">
        <f>IFERROR(__xludf.DUMMYFUNCTION("""COMPUTED_VALUE"""),"312*****lsh.mlc.edu.tw")</f>
        <v>312*****lsh.mlc.edu.tw</v>
      </c>
      <c r="D819" s="9" t="str">
        <f>IFERROR(__xludf.DUMMYFUNCTION("""COMPUTED_VALUE"""),"國立苑裡高級中學")</f>
        <v>國立苑裡高級中學</v>
      </c>
      <c r="E819" s="9" t="str">
        <f>IFERROR(__xludf.DUMMYFUNCTION("""COMPUTED_VALUE"""),"普通科")</f>
        <v>普通科</v>
      </c>
      <c r="F819" s="9" t="str">
        <f>IFERROR(__xludf.DUMMYFUNCTION("""COMPUTED_VALUE"""),"一年級")</f>
        <v>一年級</v>
      </c>
      <c r="G819" s="10" t="str">
        <f>IFERROR(__xludf.DUMMYFUNCTION("""COMPUTED_VALUE"""),"獎狀")</f>
        <v>獎狀</v>
      </c>
      <c r="H819" s="9"/>
    </row>
    <row r="820">
      <c r="A820" s="5" t="s">
        <v>9</v>
      </c>
      <c r="B820" s="9" t="str">
        <f>IFERROR(__xludf.DUMMYFUNCTION("""COMPUTED_VALUE"""),"吳O宸")</f>
        <v>吳O宸</v>
      </c>
      <c r="C820" s="9" t="str">
        <f>IFERROR(__xludf.DUMMYFUNCTION("""COMPUTED_VALUE"""),"212*****lsh.mlc.edu.tw")</f>
        <v>212*****lsh.mlc.edu.tw</v>
      </c>
      <c r="D820" s="9" t="str">
        <f>IFERROR(__xludf.DUMMYFUNCTION("""COMPUTED_VALUE"""),"國立苑裡高級中學")</f>
        <v>國立苑裡高級中學</v>
      </c>
      <c r="E820" s="9" t="str">
        <f>IFERROR(__xludf.DUMMYFUNCTION("""COMPUTED_VALUE"""),"普通科")</f>
        <v>普通科</v>
      </c>
      <c r="F820" s="9" t="str">
        <f>IFERROR(__xludf.DUMMYFUNCTION("""COMPUTED_VALUE"""),"三年級")</f>
        <v>三年級</v>
      </c>
      <c r="G820" s="10" t="str">
        <f>IFERROR(__xludf.DUMMYFUNCTION("""COMPUTED_VALUE"""),"獎狀")</f>
        <v>獎狀</v>
      </c>
      <c r="H820" s="9"/>
    </row>
    <row r="821">
      <c r="A821" s="5" t="s">
        <v>9</v>
      </c>
      <c r="B821" s="9" t="str">
        <f>IFERROR(__xludf.DUMMYFUNCTION("""COMPUTED_VALUE"""),"范O穎")</f>
        <v>范O穎</v>
      </c>
      <c r="C821" s="9" t="str">
        <f>IFERROR(__xludf.DUMMYFUNCTION("""COMPUTED_VALUE"""),"h21*****yljh.mlc.edu.tw")</f>
        <v>h21*****yljh.mlc.edu.tw</v>
      </c>
      <c r="D821" s="9" t="str">
        <f>IFERROR(__xludf.DUMMYFUNCTION("""COMPUTED_VALUE"""),"苗栗縣立苑裡高級中學")</f>
        <v>苗栗縣立苑裡高級中學</v>
      </c>
      <c r="E821" s="9" t="str">
        <f>IFERROR(__xludf.DUMMYFUNCTION("""COMPUTED_VALUE"""),"普通科")</f>
        <v>普通科</v>
      </c>
      <c r="F821" s="9" t="str">
        <f>IFERROR(__xludf.DUMMYFUNCTION("""COMPUTED_VALUE"""),"三年級")</f>
        <v>三年級</v>
      </c>
      <c r="G821" s="10" t="str">
        <f>IFERROR(__xludf.DUMMYFUNCTION("""COMPUTED_VALUE"""),"獎狀")</f>
        <v>獎狀</v>
      </c>
      <c r="H821" s="9"/>
    </row>
    <row r="822">
      <c r="A822" s="5" t="s">
        <v>9</v>
      </c>
      <c r="B822" s="9" t="str">
        <f>IFERROR(__xludf.DUMMYFUNCTION("""COMPUTED_VALUE"""),"游O媜")</f>
        <v>游O媜</v>
      </c>
      <c r="C822" s="9" t="str">
        <f>IFERROR(__xludf.DUMMYFUNCTION("""COMPUTED_VALUE"""),"yub*****ng0203@gmail.com")</f>
        <v>yub*****ng0203@gmail.com</v>
      </c>
      <c r="D822" s="9" t="str">
        <f>IFERROR(__xludf.DUMMYFUNCTION("""COMPUTED_VALUE"""),"明德學校財團法人臺中市明德高級中學")</f>
        <v>明德學校財團法人臺中市明德高級中學</v>
      </c>
      <c r="E822" s="9" t="str">
        <f>IFERROR(__xludf.DUMMYFUNCTION("""COMPUTED_VALUE"""),"普通科")</f>
        <v>普通科</v>
      </c>
      <c r="F822" s="9" t="str">
        <f>IFERROR(__xludf.DUMMYFUNCTION("""COMPUTED_VALUE"""),"一年級")</f>
        <v>一年級</v>
      </c>
      <c r="G822" s="10" t="str">
        <f>IFERROR(__xludf.DUMMYFUNCTION("""COMPUTED_VALUE"""),"獎狀")</f>
        <v>獎狀</v>
      </c>
      <c r="H822" s="9"/>
    </row>
    <row r="823">
      <c r="A823" s="5" t="s">
        <v>9</v>
      </c>
      <c r="B823" s="9" t="str">
        <f>IFERROR(__xludf.DUMMYFUNCTION("""COMPUTED_VALUE"""),"翁O晴")</f>
        <v>翁O晴</v>
      </c>
      <c r="C823" s="9" t="str">
        <f>IFERROR(__xludf.DUMMYFUNCTION("""COMPUTED_VALUE"""),"wen*****@gmail.com")</f>
        <v>wen*****@gmail.com</v>
      </c>
      <c r="D823" s="9" t="str">
        <f>IFERROR(__xludf.DUMMYFUNCTION("""COMPUTED_VALUE"""),"明德學校財團法人臺中市明德高級中學")</f>
        <v>明德學校財團法人臺中市明德高級中學</v>
      </c>
      <c r="E823" s="9" t="str">
        <f>IFERROR(__xludf.DUMMYFUNCTION("""COMPUTED_VALUE"""),"普通科")</f>
        <v>普通科</v>
      </c>
      <c r="F823" s="9" t="str">
        <f>IFERROR(__xludf.DUMMYFUNCTION("""COMPUTED_VALUE"""),"三年級")</f>
        <v>三年級</v>
      </c>
      <c r="G823" s="10" t="str">
        <f>IFERROR(__xludf.DUMMYFUNCTION("""COMPUTED_VALUE"""),"獎狀")</f>
        <v>獎狀</v>
      </c>
      <c r="H823" s="9"/>
    </row>
    <row r="824">
      <c r="A824" s="5" t="s">
        <v>9</v>
      </c>
      <c r="B824" s="9" t="str">
        <f>IFERROR(__xludf.DUMMYFUNCTION("""COMPUTED_VALUE"""),"梁O絜")</f>
        <v>梁O絜</v>
      </c>
      <c r="C824" s="9" t="str">
        <f>IFERROR(__xludf.DUMMYFUNCTION("""COMPUTED_VALUE"""),"jes*****iang2023@gmail.com")</f>
        <v>jes*****iang2023@gmail.com</v>
      </c>
      <c r="D824" s="9" t="str">
        <f>IFERROR(__xludf.DUMMYFUNCTION("""COMPUTED_VALUE"""),"臺中市立臺中女子高級中等學校")</f>
        <v>臺中市立臺中女子高級中等學校</v>
      </c>
      <c r="E824" s="9" t="str">
        <f>IFERROR(__xludf.DUMMYFUNCTION("""COMPUTED_VALUE"""),"普通科")</f>
        <v>普通科</v>
      </c>
      <c r="F824" s="9" t="str">
        <f>IFERROR(__xludf.DUMMYFUNCTION("""COMPUTED_VALUE"""),"一年級")</f>
        <v>一年級</v>
      </c>
      <c r="G824" s="10" t="str">
        <f>IFERROR(__xludf.DUMMYFUNCTION("""COMPUTED_VALUE"""),"獎狀")</f>
        <v>獎狀</v>
      </c>
      <c r="H824" s="9"/>
    </row>
    <row r="825">
      <c r="A825" s="5" t="s">
        <v>9</v>
      </c>
      <c r="B825" s="9" t="str">
        <f>IFERROR(__xludf.DUMMYFUNCTION("""COMPUTED_VALUE"""),"張O芊")</f>
        <v>張O芊</v>
      </c>
      <c r="C825" s="9" t="str">
        <f>IFERROR(__xludf.DUMMYFUNCTION("""COMPUTED_VALUE"""),"cut*****gmail.com")</f>
        <v>cut*****gmail.com</v>
      </c>
      <c r="D825" s="9" t="str">
        <f>IFERROR(__xludf.DUMMYFUNCTION("""COMPUTED_VALUE"""),"臺中市立臺中女子高級中等學校")</f>
        <v>臺中市立臺中女子高級中等學校</v>
      </c>
      <c r="E825" s="9" t="str">
        <f>IFERROR(__xludf.DUMMYFUNCTION("""COMPUTED_VALUE"""),"普通科")</f>
        <v>普通科</v>
      </c>
      <c r="F825" s="9" t="str">
        <f>IFERROR(__xludf.DUMMYFUNCTION("""COMPUTED_VALUE"""),"一年級")</f>
        <v>一年級</v>
      </c>
      <c r="G825" s="10" t="str">
        <f>IFERROR(__xludf.DUMMYFUNCTION("""COMPUTED_VALUE"""),"獎狀")</f>
        <v>獎狀</v>
      </c>
      <c r="H825" s="9"/>
    </row>
    <row r="826">
      <c r="A826" s="5" t="s">
        <v>9</v>
      </c>
      <c r="B826" s="9" t="str">
        <f>IFERROR(__xludf.DUMMYFUNCTION("""COMPUTED_VALUE"""),"吳O鈞")</f>
        <v>吳O鈞</v>
      </c>
      <c r="C826" s="9" t="str">
        <f>IFERROR(__xludf.DUMMYFUNCTION("""COMPUTED_VALUE"""),"s31*****ms.tcgs.tc.edu.tw")</f>
        <v>s31*****ms.tcgs.tc.edu.tw</v>
      </c>
      <c r="D826" s="9" t="str">
        <f>IFERROR(__xludf.DUMMYFUNCTION("""COMPUTED_VALUE"""),"臺中市立臺中女子高級中等學校")</f>
        <v>臺中市立臺中女子高級中等學校</v>
      </c>
      <c r="E826" s="9" t="str">
        <f>IFERROR(__xludf.DUMMYFUNCTION("""COMPUTED_VALUE"""),"普通科")</f>
        <v>普通科</v>
      </c>
      <c r="F826" s="9" t="str">
        <f>IFERROR(__xludf.DUMMYFUNCTION("""COMPUTED_VALUE"""),"一年級")</f>
        <v>一年級</v>
      </c>
      <c r="G826" s="10" t="str">
        <f>IFERROR(__xludf.DUMMYFUNCTION("""COMPUTED_VALUE"""),"獎狀")</f>
        <v>獎狀</v>
      </c>
      <c r="H826" s="9"/>
    </row>
    <row r="827">
      <c r="A827" s="5" t="s">
        <v>9</v>
      </c>
      <c r="B827" s="9" t="str">
        <f>IFERROR(__xludf.DUMMYFUNCTION("""COMPUTED_VALUE"""),"黃O芸")</f>
        <v>黃O芸</v>
      </c>
      <c r="C827" s="9" t="str">
        <f>IFERROR(__xludf.DUMMYFUNCTION("""COMPUTED_VALUE"""),"s31*****ms.tcgs.tc.edu.tw")</f>
        <v>s31*****ms.tcgs.tc.edu.tw</v>
      </c>
      <c r="D827" s="9" t="str">
        <f>IFERROR(__xludf.DUMMYFUNCTION("""COMPUTED_VALUE"""),"臺中市立臺中女子高級中等學校")</f>
        <v>臺中市立臺中女子高級中等學校</v>
      </c>
      <c r="E827" s="9" t="str">
        <f>IFERROR(__xludf.DUMMYFUNCTION("""COMPUTED_VALUE"""),"普通科")</f>
        <v>普通科</v>
      </c>
      <c r="F827" s="9" t="str">
        <f>IFERROR(__xludf.DUMMYFUNCTION("""COMPUTED_VALUE"""),"一年級")</f>
        <v>一年級</v>
      </c>
      <c r="G827" s="10" t="str">
        <f>IFERROR(__xludf.DUMMYFUNCTION("""COMPUTED_VALUE"""),"獎狀")</f>
        <v>獎狀</v>
      </c>
      <c r="H827" s="9"/>
    </row>
    <row r="828">
      <c r="A828" s="5" t="s">
        <v>9</v>
      </c>
      <c r="B828" s="9" t="str">
        <f>IFERROR(__xludf.DUMMYFUNCTION("""COMPUTED_VALUE"""),"王O婷")</f>
        <v>王O婷</v>
      </c>
      <c r="C828" s="9" t="str">
        <f>IFERROR(__xludf.DUMMYFUNCTION("""COMPUTED_VALUE"""),"s31*****ms.tcgs.tc.edu.tw")</f>
        <v>s31*****ms.tcgs.tc.edu.tw</v>
      </c>
      <c r="D828" s="9" t="str">
        <f>IFERROR(__xludf.DUMMYFUNCTION("""COMPUTED_VALUE"""),"臺中市立臺中女子高級中等學校")</f>
        <v>臺中市立臺中女子高級中等學校</v>
      </c>
      <c r="E828" s="9" t="str">
        <f>IFERROR(__xludf.DUMMYFUNCTION("""COMPUTED_VALUE"""),"普通科")</f>
        <v>普通科</v>
      </c>
      <c r="F828" s="9" t="str">
        <f>IFERROR(__xludf.DUMMYFUNCTION("""COMPUTED_VALUE"""),"一年級")</f>
        <v>一年級</v>
      </c>
      <c r="G828" s="10" t="str">
        <f>IFERROR(__xludf.DUMMYFUNCTION("""COMPUTED_VALUE"""),"獎狀")</f>
        <v>獎狀</v>
      </c>
      <c r="H828" s="9"/>
    </row>
    <row r="829">
      <c r="A829" s="5" t="s">
        <v>9</v>
      </c>
      <c r="B829" s="9" t="str">
        <f>IFERROR(__xludf.DUMMYFUNCTION("""COMPUTED_VALUE"""),"賴O蓁")</f>
        <v>賴O蓁</v>
      </c>
      <c r="C829" s="9" t="str">
        <f>IFERROR(__xludf.DUMMYFUNCTION("""COMPUTED_VALUE"""),"s31*****ms.tcgs.tc.edu.tw")</f>
        <v>s31*****ms.tcgs.tc.edu.tw</v>
      </c>
      <c r="D829" s="9" t="str">
        <f>IFERROR(__xludf.DUMMYFUNCTION("""COMPUTED_VALUE"""),"臺中市立臺中女子高級中等學校")</f>
        <v>臺中市立臺中女子高級中等學校</v>
      </c>
      <c r="E829" s="9" t="str">
        <f>IFERROR(__xludf.DUMMYFUNCTION("""COMPUTED_VALUE"""),"普通科")</f>
        <v>普通科</v>
      </c>
      <c r="F829" s="9" t="str">
        <f>IFERROR(__xludf.DUMMYFUNCTION("""COMPUTED_VALUE"""),"二年級")</f>
        <v>二年級</v>
      </c>
      <c r="G829" s="10" t="str">
        <f>IFERROR(__xludf.DUMMYFUNCTION("""COMPUTED_VALUE"""),"獎狀")</f>
        <v>獎狀</v>
      </c>
      <c r="H829" s="9"/>
    </row>
    <row r="830">
      <c r="A830" s="5" t="s">
        <v>9</v>
      </c>
      <c r="B830" s="9" t="str">
        <f>IFERROR(__xludf.DUMMYFUNCTION("""COMPUTED_VALUE"""),"蔣O涵")</f>
        <v>蔣O涵</v>
      </c>
      <c r="C830" s="9" t="str">
        <f>IFERROR(__xludf.DUMMYFUNCTION("""COMPUTED_VALUE"""),"s31*****ms.tcgs.tc.edu.tw")</f>
        <v>s31*****ms.tcgs.tc.edu.tw</v>
      </c>
      <c r="D830" s="9" t="str">
        <f>IFERROR(__xludf.DUMMYFUNCTION("""COMPUTED_VALUE"""),"臺中市立臺中女子高級中等學校")</f>
        <v>臺中市立臺中女子高級中等學校</v>
      </c>
      <c r="E830" s="9" t="str">
        <f>IFERROR(__xludf.DUMMYFUNCTION("""COMPUTED_VALUE"""),"普通科")</f>
        <v>普通科</v>
      </c>
      <c r="F830" s="9" t="str">
        <f>IFERROR(__xludf.DUMMYFUNCTION("""COMPUTED_VALUE"""),"二年級")</f>
        <v>二年級</v>
      </c>
      <c r="G830" s="10" t="str">
        <f>IFERROR(__xludf.DUMMYFUNCTION("""COMPUTED_VALUE"""),"獎狀")</f>
        <v>獎狀</v>
      </c>
      <c r="H830" s="9"/>
    </row>
    <row r="831">
      <c r="A831" s="5" t="s">
        <v>9</v>
      </c>
      <c r="B831" s="9" t="str">
        <f>IFERROR(__xludf.DUMMYFUNCTION("""COMPUTED_VALUE"""),"湯O宸")</f>
        <v>湯O宸</v>
      </c>
      <c r="C831" s="9" t="str">
        <f>IFERROR(__xludf.DUMMYFUNCTION("""COMPUTED_VALUE"""),"s31*****ms.tcgs.tc.edu.tw")</f>
        <v>s31*****ms.tcgs.tc.edu.tw</v>
      </c>
      <c r="D831" s="9" t="str">
        <f>IFERROR(__xludf.DUMMYFUNCTION("""COMPUTED_VALUE"""),"臺中市立臺中女子高級中等學校")</f>
        <v>臺中市立臺中女子高級中等學校</v>
      </c>
      <c r="E831" s="9" t="str">
        <f>IFERROR(__xludf.DUMMYFUNCTION("""COMPUTED_VALUE"""),"普通科")</f>
        <v>普通科</v>
      </c>
      <c r="F831" s="9" t="str">
        <f>IFERROR(__xludf.DUMMYFUNCTION("""COMPUTED_VALUE"""),"二年級")</f>
        <v>二年級</v>
      </c>
      <c r="G831" s="10" t="str">
        <f>IFERROR(__xludf.DUMMYFUNCTION("""COMPUTED_VALUE"""),"獎狀")</f>
        <v>獎狀</v>
      </c>
      <c r="H831" s="11"/>
    </row>
    <row r="832">
      <c r="A832" s="5" t="s">
        <v>9</v>
      </c>
      <c r="B832" s="9" t="str">
        <f>IFERROR(__xludf.DUMMYFUNCTION("""COMPUTED_VALUE"""),"吳O芸")</f>
        <v>吳O芸</v>
      </c>
      <c r="C832" s="9" t="str">
        <f>IFERROR(__xludf.DUMMYFUNCTION("""COMPUTED_VALUE"""),"s31*****ms.tcgs.tc.edu.tw")</f>
        <v>s31*****ms.tcgs.tc.edu.tw</v>
      </c>
      <c r="D832" s="9" t="str">
        <f>IFERROR(__xludf.DUMMYFUNCTION("""COMPUTED_VALUE"""),"臺中市立臺中女子高級中等學校")</f>
        <v>臺中市立臺中女子高級中等學校</v>
      </c>
      <c r="E832" s="9" t="str">
        <f>IFERROR(__xludf.DUMMYFUNCTION("""COMPUTED_VALUE"""),"普通科")</f>
        <v>普通科</v>
      </c>
      <c r="F832" s="9" t="str">
        <f>IFERROR(__xludf.DUMMYFUNCTION("""COMPUTED_VALUE"""),"二年級")</f>
        <v>二年級</v>
      </c>
      <c r="G832" s="10" t="str">
        <f>IFERROR(__xludf.DUMMYFUNCTION("""COMPUTED_VALUE"""),"獎狀")</f>
        <v>獎狀</v>
      </c>
      <c r="H832" s="11"/>
    </row>
    <row r="833">
      <c r="A833" s="5" t="s">
        <v>9</v>
      </c>
      <c r="B833" s="9" t="str">
        <f>IFERROR(__xludf.DUMMYFUNCTION("""COMPUTED_VALUE"""),"李O倫")</f>
        <v>李O倫</v>
      </c>
      <c r="C833" s="9" t="str">
        <f>IFERROR(__xludf.DUMMYFUNCTION("""COMPUTED_VALUE"""),"s11*****ms.tcgs.tc.edu.tw")</f>
        <v>s11*****ms.tcgs.tc.edu.tw</v>
      </c>
      <c r="D833" s="9" t="str">
        <f>IFERROR(__xludf.DUMMYFUNCTION("""COMPUTED_VALUE"""),"臺中市立臺中女子高級中等學校")</f>
        <v>臺中市立臺中女子高級中等學校</v>
      </c>
      <c r="E833" s="9" t="str">
        <f>IFERROR(__xludf.DUMMYFUNCTION("""COMPUTED_VALUE"""),"普通科")</f>
        <v>普通科</v>
      </c>
      <c r="F833" s="9" t="str">
        <f>IFERROR(__xludf.DUMMYFUNCTION("""COMPUTED_VALUE"""),"三年級")</f>
        <v>三年級</v>
      </c>
      <c r="G833" s="10" t="str">
        <f>IFERROR(__xludf.DUMMYFUNCTION("""COMPUTED_VALUE"""),"獎狀")</f>
        <v>獎狀</v>
      </c>
      <c r="H833" s="9"/>
    </row>
    <row r="834">
      <c r="A834" s="5" t="s">
        <v>9</v>
      </c>
      <c r="B834" s="9" t="str">
        <f>IFERROR(__xludf.DUMMYFUNCTION("""COMPUTED_VALUE"""),"陳O寰")</f>
        <v>陳O寰</v>
      </c>
      <c r="C834" s="9" t="str">
        <f>IFERROR(__xludf.DUMMYFUNCTION("""COMPUTED_VALUE"""),"che*****uan@gmail.com")</f>
        <v>che*****uan@gmail.com</v>
      </c>
      <c r="D834" s="9" t="str">
        <f>IFERROR(__xludf.DUMMYFUNCTION("""COMPUTED_VALUE"""),"臺中市立忠明高級中學")</f>
        <v>臺中市立忠明高級中學</v>
      </c>
      <c r="E834" s="9" t="str">
        <f>IFERROR(__xludf.DUMMYFUNCTION("""COMPUTED_VALUE"""),"普通科")</f>
        <v>普通科</v>
      </c>
      <c r="F834" s="9" t="str">
        <f>IFERROR(__xludf.DUMMYFUNCTION("""COMPUTED_VALUE"""),"三年級")</f>
        <v>三年級</v>
      </c>
      <c r="G834" s="10" t="str">
        <f>IFERROR(__xludf.DUMMYFUNCTION("""COMPUTED_VALUE"""),"獎狀")</f>
        <v>獎狀</v>
      </c>
      <c r="H834" s="9"/>
    </row>
    <row r="835">
      <c r="A835" s="5" t="s">
        <v>9</v>
      </c>
      <c r="B835" s="9" t="str">
        <f>IFERROR(__xludf.DUMMYFUNCTION("""COMPUTED_VALUE"""),"李O蓉")</f>
        <v>李O蓉</v>
      </c>
      <c r="C835" s="9" t="str">
        <f>IFERROR(__xludf.DUMMYFUNCTION("""COMPUTED_VALUE"""),"lee*****on0806@gmail.com")</f>
        <v>lee*****on0806@gmail.com</v>
      </c>
      <c r="D835" s="9" t="str">
        <f>IFERROR(__xludf.DUMMYFUNCTION("""COMPUTED_VALUE"""),"臺中市立忠明高級中學")</f>
        <v>臺中市立忠明高級中學</v>
      </c>
      <c r="E835" s="9" t="str">
        <f>IFERROR(__xludf.DUMMYFUNCTION("""COMPUTED_VALUE"""),"普通科")</f>
        <v>普通科</v>
      </c>
      <c r="F835" s="9" t="str">
        <f>IFERROR(__xludf.DUMMYFUNCTION("""COMPUTED_VALUE"""),"三年級")</f>
        <v>三年級</v>
      </c>
      <c r="G835" s="10" t="str">
        <f>IFERROR(__xludf.DUMMYFUNCTION("""COMPUTED_VALUE"""),"獎狀")</f>
        <v>獎狀</v>
      </c>
      <c r="H835" s="11"/>
    </row>
    <row r="836">
      <c r="A836" s="5" t="s">
        <v>9</v>
      </c>
      <c r="B836" s="9" t="str">
        <f>IFERROR(__xludf.DUMMYFUNCTION("""COMPUTED_VALUE"""),"李O寧")</f>
        <v>李O寧</v>
      </c>
      <c r="C836" s="9" t="str">
        <f>IFERROR(__xludf.DUMMYFUNCTION("""COMPUTED_VALUE"""),"tcs*****4084@mail.edu.tw")</f>
        <v>tcs*****4084@mail.edu.tw</v>
      </c>
      <c r="D836" s="9" t="str">
        <f>IFERROR(__xludf.DUMMYFUNCTION("""COMPUTED_VALUE"""),"臺中市私立曉明女子高級中學")</f>
        <v>臺中市私立曉明女子高級中學</v>
      </c>
      <c r="E836" s="9" t="str">
        <f>IFERROR(__xludf.DUMMYFUNCTION("""COMPUTED_VALUE"""),"普通科")</f>
        <v>普通科</v>
      </c>
      <c r="F836" s="9" t="str">
        <f>IFERROR(__xludf.DUMMYFUNCTION("""COMPUTED_VALUE"""),"二年級")</f>
        <v>二年級</v>
      </c>
      <c r="G836" s="10" t="str">
        <f>IFERROR(__xludf.DUMMYFUNCTION("""COMPUTED_VALUE"""),"獎狀")</f>
        <v>獎狀</v>
      </c>
      <c r="H836" s="11"/>
    </row>
    <row r="837">
      <c r="A837" s="5" t="s">
        <v>9</v>
      </c>
      <c r="B837" s="9" t="str">
        <f>IFERROR(__xludf.DUMMYFUNCTION("""COMPUTED_VALUE"""),"何O寬")</f>
        <v>何O寬</v>
      </c>
      <c r="C837" s="9" t="str">
        <f>IFERROR(__xludf.DUMMYFUNCTION("""COMPUTED_VALUE"""),"e83*****@ms1.url.com.tw")</f>
        <v>e83*****@ms1.url.com.tw</v>
      </c>
      <c r="D837" s="9" t="str">
        <f>IFERROR(__xludf.DUMMYFUNCTION("""COMPUTED_VALUE"""),"臺中市立臺中第一高級中等學校")</f>
        <v>臺中市立臺中第一高級中等學校</v>
      </c>
      <c r="E837" s="9" t="str">
        <f>IFERROR(__xludf.DUMMYFUNCTION("""COMPUTED_VALUE"""),"普通科")</f>
        <v>普通科</v>
      </c>
      <c r="F837" s="9" t="str">
        <f>IFERROR(__xludf.DUMMYFUNCTION("""COMPUTED_VALUE"""),"一年級")</f>
        <v>一年級</v>
      </c>
      <c r="G837" s="10" t="str">
        <f>IFERROR(__xludf.DUMMYFUNCTION("""COMPUTED_VALUE"""),"獎狀")</f>
        <v>獎狀</v>
      </c>
      <c r="H837" s="11"/>
    </row>
    <row r="838">
      <c r="A838" s="5" t="s">
        <v>9</v>
      </c>
      <c r="B838" s="9" t="str">
        <f>IFERROR(__xludf.DUMMYFUNCTION("""COMPUTED_VALUE"""),"張O恩")</f>
        <v>張O恩</v>
      </c>
      <c r="C838" s="9" t="str">
        <f>IFERROR(__xludf.DUMMYFUNCTION("""COMPUTED_VALUE"""),"pay*****01@gmail.com")</f>
        <v>pay*****01@gmail.com</v>
      </c>
      <c r="D838" s="9" t="str">
        <f>IFERROR(__xludf.DUMMYFUNCTION("""COMPUTED_VALUE"""),"臺中市立臺中第一高級中等學校")</f>
        <v>臺中市立臺中第一高級中等學校</v>
      </c>
      <c r="E838" s="9" t="str">
        <f>IFERROR(__xludf.DUMMYFUNCTION("""COMPUTED_VALUE"""),"普通科")</f>
        <v>普通科</v>
      </c>
      <c r="F838" s="9" t="str">
        <f>IFERROR(__xludf.DUMMYFUNCTION("""COMPUTED_VALUE"""),"二年級")</f>
        <v>二年級</v>
      </c>
      <c r="G838" s="10" t="str">
        <f>IFERROR(__xludf.DUMMYFUNCTION("""COMPUTED_VALUE"""),"獎狀")</f>
        <v>獎狀</v>
      </c>
      <c r="H838" s="11"/>
    </row>
    <row r="839">
      <c r="A839" s="5" t="s">
        <v>9</v>
      </c>
      <c r="B839" s="9" t="str">
        <f>IFERROR(__xludf.DUMMYFUNCTION("""COMPUTED_VALUE"""),"陳O宇")</f>
        <v>陳O宇</v>
      </c>
      <c r="C839" s="9" t="str">
        <f>IFERROR(__xludf.DUMMYFUNCTION("""COMPUTED_VALUE"""),"113*****@std.tcfsh.tc.edu.tw")</f>
        <v>113*****@std.tcfsh.tc.edu.tw</v>
      </c>
      <c r="D839" s="9" t="str">
        <f>IFERROR(__xludf.DUMMYFUNCTION("""COMPUTED_VALUE"""),"臺中市立臺中第一高級中等學校")</f>
        <v>臺中市立臺中第一高級中等學校</v>
      </c>
      <c r="E839" s="9" t="str">
        <f>IFERROR(__xludf.DUMMYFUNCTION("""COMPUTED_VALUE"""),"普通科")</f>
        <v>普通科</v>
      </c>
      <c r="F839" s="9" t="str">
        <f>IFERROR(__xludf.DUMMYFUNCTION("""COMPUTED_VALUE"""),"二年級")</f>
        <v>二年級</v>
      </c>
      <c r="G839" s="10" t="str">
        <f>IFERROR(__xludf.DUMMYFUNCTION("""COMPUTED_VALUE"""),"獎狀")</f>
        <v>獎狀</v>
      </c>
      <c r="H839" s="11"/>
    </row>
    <row r="840">
      <c r="A840" s="5" t="s">
        <v>9</v>
      </c>
      <c r="B840" s="9" t="str">
        <f>IFERROR(__xludf.DUMMYFUNCTION("""COMPUTED_VALUE"""),"賴O伊")</f>
        <v>賴O伊</v>
      </c>
      <c r="C840" s="9" t="str">
        <f>IFERROR(__xludf.DUMMYFUNCTION("""COMPUTED_VALUE"""),"s21*****stu.tcssh.tc.edu.tw")</f>
        <v>s21*****stu.tcssh.tc.edu.tw</v>
      </c>
      <c r="D840" s="9" t="str">
        <f>IFERROR(__xludf.DUMMYFUNCTION("""COMPUTED_VALUE"""),"臺中市立臺中第二高級中等學校")</f>
        <v>臺中市立臺中第二高級中等學校</v>
      </c>
      <c r="E840" s="9" t="str">
        <f>IFERROR(__xludf.DUMMYFUNCTION("""COMPUTED_VALUE"""),"普通科")</f>
        <v>普通科</v>
      </c>
      <c r="F840" s="9" t="str">
        <f>IFERROR(__xludf.DUMMYFUNCTION("""COMPUTED_VALUE"""),"二年級")</f>
        <v>二年級</v>
      </c>
      <c r="G840" s="10" t="str">
        <f>IFERROR(__xludf.DUMMYFUNCTION("""COMPUTED_VALUE"""),"獎狀")</f>
        <v>獎狀</v>
      </c>
      <c r="H840" s="9"/>
    </row>
    <row r="841">
      <c r="A841" s="5" t="s">
        <v>9</v>
      </c>
      <c r="B841" s="9" t="str">
        <f>IFERROR(__xludf.DUMMYFUNCTION("""COMPUTED_VALUE"""),"張O瑋")</f>
        <v>張O瑋</v>
      </c>
      <c r="C841" s="9" t="str">
        <f>IFERROR(__xludf.DUMMYFUNCTION("""COMPUTED_VALUE"""),"s21*****stu.tcssh.tc.edu.tw")</f>
        <v>s21*****stu.tcssh.tc.edu.tw</v>
      </c>
      <c r="D841" s="9" t="str">
        <f>IFERROR(__xludf.DUMMYFUNCTION("""COMPUTED_VALUE"""),"臺中市立臺中第二高級中等學校")</f>
        <v>臺中市立臺中第二高級中等學校</v>
      </c>
      <c r="E841" s="9" t="str">
        <f>IFERROR(__xludf.DUMMYFUNCTION("""COMPUTED_VALUE"""),"普通科")</f>
        <v>普通科</v>
      </c>
      <c r="F841" s="9" t="str">
        <f>IFERROR(__xludf.DUMMYFUNCTION("""COMPUTED_VALUE"""),"三年級")</f>
        <v>三年級</v>
      </c>
      <c r="G841" s="10" t="str">
        <f>IFERROR(__xludf.DUMMYFUNCTION("""COMPUTED_VALUE"""),"獎狀")</f>
        <v>獎狀</v>
      </c>
      <c r="H841" s="9"/>
    </row>
    <row r="842">
      <c r="A842" s="5" t="s">
        <v>9</v>
      </c>
      <c r="B842" s="9" t="str">
        <f>IFERROR(__xludf.DUMMYFUNCTION("""COMPUTED_VALUE"""),"林O安")</f>
        <v>林O安</v>
      </c>
      <c r="C842" s="9" t="str">
        <f>IFERROR(__xludf.DUMMYFUNCTION("""COMPUTED_VALUE"""),"s21*****stu.tcssh.tc.edu.tw")</f>
        <v>s21*****stu.tcssh.tc.edu.tw</v>
      </c>
      <c r="D842" s="9" t="str">
        <f>IFERROR(__xludf.DUMMYFUNCTION("""COMPUTED_VALUE"""),"臺中市立臺中第二高級中等學校")</f>
        <v>臺中市立臺中第二高級中等學校</v>
      </c>
      <c r="E842" s="9" t="str">
        <f>IFERROR(__xludf.DUMMYFUNCTION("""COMPUTED_VALUE"""),"普通科")</f>
        <v>普通科</v>
      </c>
      <c r="F842" s="9" t="str">
        <f>IFERROR(__xludf.DUMMYFUNCTION("""COMPUTED_VALUE"""),"三年級")</f>
        <v>三年級</v>
      </c>
      <c r="G842" s="10" t="str">
        <f>IFERROR(__xludf.DUMMYFUNCTION("""COMPUTED_VALUE"""),"獎狀")</f>
        <v>獎狀</v>
      </c>
      <c r="H842" s="9"/>
    </row>
    <row r="843">
      <c r="A843" s="5" t="s">
        <v>9</v>
      </c>
      <c r="B843" s="9" t="str">
        <f>IFERROR(__xludf.DUMMYFUNCTION("""COMPUTED_VALUE"""),"江O恩")</f>
        <v>江O恩</v>
      </c>
      <c r="C843" s="9" t="str">
        <f>IFERROR(__xludf.DUMMYFUNCTION("""COMPUTED_VALUE"""),"s21*****stu.tcssh.tc.edu.tw")</f>
        <v>s21*****stu.tcssh.tc.edu.tw</v>
      </c>
      <c r="D843" s="9" t="str">
        <f>IFERROR(__xludf.DUMMYFUNCTION("""COMPUTED_VALUE"""),"臺中市立臺中第二高級中等學校")</f>
        <v>臺中市立臺中第二高級中等學校</v>
      </c>
      <c r="E843" s="9" t="str">
        <f>IFERROR(__xludf.DUMMYFUNCTION("""COMPUTED_VALUE"""),"普通科")</f>
        <v>普通科</v>
      </c>
      <c r="F843" s="9" t="str">
        <f>IFERROR(__xludf.DUMMYFUNCTION("""COMPUTED_VALUE"""),"三年級")</f>
        <v>三年級</v>
      </c>
      <c r="G843" s="10" t="str">
        <f>IFERROR(__xludf.DUMMYFUNCTION("""COMPUTED_VALUE"""),"獎狀")</f>
        <v>獎狀</v>
      </c>
      <c r="H843" s="9"/>
    </row>
    <row r="844">
      <c r="A844" s="5" t="s">
        <v>9</v>
      </c>
      <c r="B844" s="9" t="str">
        <f>IFERROR(__xludf.DUMMYFUNCTION("""COMPUTED_VALUE"""),"鄭O嘉")</f>
        <v>鄭O嘉</v>
      </c>
      <c r="C844" s="9" t="str">
        <f>IFERROR(__xludf.DUMMYFUNCTION("""COMPUTED_VALUE"""),"s21*****stu.tcssh.tc.edu.tw")</f>
        <v>s21*****stu.tcssh.tc.edu.tw</v>
      </c>
      <c r="D844" s="9" t="str">
        <f>IFERROR(__xludf.DUMMYFUNCTION("""COMPUTED_VALUE"""),"臺中市立臺中第二高級中等學校")</f>
        <v>臺中市立臺中第二高級中等學校</v>
      </c>
      <c r="E844" s="9" t="str">
        <f>IFERROR(__xludf.DUMMYFUNCTION("""COMPUTED_VALUE"""),"普通科")</f>
        <v>普通科</v>
      </c>
      <c r="F844" s="9" t="str">
        <f>IFERROR(__xludf.DUMMYFUNCTION("""COMPUTED_VALUE"""),"三年級")</f>
        <v>三年級</v>
      </c>
      <c r="G844" s="10" t="str">
        <f>IFERROR(__xludf.DUMMYFUNCTION("""COMPUTED_VALUE"""),"獎狀")</f>
        <v>獎狀</v>
      </c>
      <c r="H844" s="9"/>
    </row>
    <row r="845">
      <c r="A845" s="5" t="s">
        <v>9</v>
      </c>
      <c r="B845" s="9" t="str">
        <f>IFERROR(__xludf.DUMMYFUNCTION("""COMPUTED_VALUE"""),"陳O庭")</f>
        <v>陳O庭</v>
      </c>
      <c r="C845" s="9" t="str">
        <f>IFERROR(__xludf.DUMMYFUNCTION("""COMPUTED_VALUE"""),"s21*****stu.tcssh.tc.edu.tw")</f>
        <v>s21*****stu.tcssh.tc.edu.tw</v>
      </c>
      <c r="D845" s="9" t="str">
        <f>IFERROR(__xludf.DUMMYFUNCTION("""COMPUTED_VALUE"""),"臺中市立臺中第二高級中等學校")</f>
        <v>臺中市立臺中第二高級中等學校</v>
      </c>
      <c r="E845" s="9" t="str">
        <f>IFERROR(__xludf.DUMMYFUNCTION("""COMPUTED_VALUE"""),"普通科")</f>
        <v>普通科</v>
      </c>
      <c r="F845" s="9" t="str">
        <f>IFERROR(__xludf.DUMMYFUNCTION("""COMPUTED_VALUE"""),"三年級")</f>
        <v>三年級</v>
      </c>
      <c r="G845" s="10" t="str">
        <f>IFERROR(__xludf.DUMMYFUNCTION("""COMPUTED_VALUE"""),"獎狀")</f>
        <v>獎狀</v>
      </c>
      <c r="H845" s="9"/>
    </row>
    <row r="846">
      <c r="A846" s="5" t="s">
        <v>9</v>
      </c>
      <c r="B846" s="9" t="str">
        <f>IFERROR(__xludf.DUMMYFUNCTION("""COMPUTED_VALUE"""),"辛O")</f>
        <v>辛O</v>
      </c>
      <c r="C846" s="9" t="str">
        <f>IFERROR(__xludf.DUMMYFUNCTION("""COMPUTED_VALUE"""),"cin*****5168757@gmail.com")</f>
        <v>cin*****5168757@gmail.com</v>
      </c>
      <c r="D846" s="9" t="str">
        <f>IFERROR(__xludf.DUMMYFUNCTION("""COMPUTED_VALUE"""),"臺中市立臺中第二高級中等學校")</f>
        <v>臺中市立臺中第二高級中等學校</v>
      </c>
      <c r="E846" s="9" t="str">
        <f>IFERROR(__xludf.DUMMYFUNCTION("""COMPUTED_VALUE"""),"普通科")</f>
        <v>普通科</v>
      </c>
      <c r="F846" s="9" t="str">
        <f>IFERROR(__xludf.DUMMYFUNCTION("""COMPUTED_VALUE"""),"三年級")</f>
        <v>三年級</v>
      </c>
      <c r="G846" s="10" t="str">
        <f>IFERROR(__xludf.DUMMYFUNCTION("""COMPUTED_VALUE"""),"獎狀")</f>
        <v>獎狀</v>
      </c>
      <c r="H846" s="9"/>
    </row>
    <row r="847">
      <c r="A847" s="5" t="s">
        <v>9</v>
      </c>
      <c r="B847" s="9" t="str">
        <f>IFERROR(__xludf.DUMMYFUNCTION("""COMPUTED_VALUE"""),"陳O琪")</f>
        <v>陳O琪</v>
      </c>
      <c r="C847" s="9" t="str">
        <f>IFERROR(__xludf.DUMMYFUNCTION("""COMPUTED_VALUE"""),"ty1*****@gmail.com")</f>
        <v>ty1*****@gmail.com</v>
      </c>
      <c r="D847" s="9" t="str">
        <f>IFERROR(__xludf.DUMMYFUNCTION("""COMPUTED_VALUE"""),"臺中市立臺中第二高級中等學校")</f>
        <v>臺中市立臺中第二高級中等學校</v>
      </c>
      <c r="E847" s="9" t="str">
        <f>IFERROR(__xludf.DUMMYFUNCTION("""COMPUTED_VALUE"""),"普通科")</f>
        <v>普通科</v>
      </c>
      <c r="F847" s="9" t="str">
        <f>IFERROR(__xludf.DUMMYFUNCTION("""COMPUTED_VALUE"""),"三年級")</f>
        <v>三年級</v>
      </c>
      <c r="G847" s="10" t="str">
        <f>IFERROR(__xludf.DUMMYFUNCTION("""COMPUTED_VALUE"""),"獎狀")</f>
        <v>獎狀</v>
      </c>
      <c r="H847" s="9"/>
    </row>
    <row r="848">
      <c r="A848" s="5" t="s">
        <v>9</v>
      </c>
      <c r="B848" s="9" t="str">
        <f>IFERROR(__xludf.DUMMYFUNCTION("""COMPUTED_VALUE"""),"古O安")</f>
        <v>古O安</v>
      </c>
      <c r="C848" s="9" t="str">
        <f>IFERROR(__xludf.DUMMYFUNCTION("""COMPUTED_VALUE"""),"and*****c8763@gmail.com")</f>
        <v>and*****c8763@gmail.com</v>
      </c>
      <c r="D848" s="9" t="str">
        <f>IFERROR(__xludf.DUMMYFUNCTION("""COMPUTED_VALUE"""),"臺中市立臺中第二高級中等學校")</f>
        <v>臺中市立臺中第二高級中等學校</v>
      </c>
      <c r="E848" s="9" t="str">
        <f>IFERROR(__xludf.DUMMYFUNCTION("""COMPUTED_VALUE"""),"普通科")</f>
        <v>普通科</v>
      </c>
      <c r="F848" s="9" t="str">
        <f>IFERROR(__xludf.DUMMYFUNCTION("""COMPUTED_VALUE"""),"三年級")</f>
        <v>三年級</v>
      </c>
      <c r="G848" s="10" t="str">
        <f>IFERROR(__xludf.DUMMYFUNCTION("""COMPUTED_VALUE"""),"獎狀")</f>
        <v>獎狀</v>
      </c>
      <c r="H848" s="9"/>
    </row>
    <row r="849">
      <c r="A849" s="5" t="s">
        <v>9</v>
      </c>
      <c r="B849" s="9" t="str">
        <f>IFERROR(__xludf.DUMMYFUNCTION("""COMPUTED_VALUE"""),"王O宣")</f>
        <v>王O宣</v>
      </c>
      <c r="C849" s="9" t="str">
        <f>IFERROR(__xludf.DUMMYFUNCTION("""COMPUTED_VALUE"""),"dor*****9742@yahoo.com.tw")</f>
        <v>dor*****9742@yahoo.com.tw</v>
      </c>
      <c r="D849" s="9" t="str">
        <f>IFERROR(__xludf.DUMMYFUNCTION("""COMPUTED_VALUE"""),"臺中市立臺中第二高級中等學校")</f>
        <v>臺中市立臺中第二高級中等學校</v>
      </c>
      <c r="E849" s="9" t="str">
        <f>IFERROR(__xludf.DUMMYFUNCTION("""COMPUTED_VALUE"""),"普通科")</f>
        <v>普通科</v>
      </c>
      <c r="F849" s="9" t="str">
        <f>IFERROR(__xludf.DUMMYFUNCTION("""COMPUTED_VALUE"""),"三年級")</f>
        <v>三年級</v>
      </c>
      <c r="G849" s="10" t="str">
        <f>IFERROR(__xludf.DUMMYFUNCTION("""COMPUTED_VALUE"""),"獎狀")</f>
        <v>獎狀</v>
      </c>
      <c r="H849" s="9"/>
    </row>
    <row r="850">
      <c r="A850" s="5" t="s">
        <v>9</v>
      </c>
      <c r="B850" s="9" t="str">
        <f>IFERROR(__xludf.DUMMYFUNCTION("""COMPUTED_VALUE"""),"錢O新")</f>
        <v>錢O新</v>
      </c>
      <c r="C850" s="9" t="str">
        <f>IFERROR(__xludf.DUMMYFUNCTION("""COMPUTED_VALUE"""),"s21*****stu.tcssh.tc.edu.tw")</f>
        <v>s21*****stu.tcssh.tc.edu.tw</v>
      </c>
      <c r="D850" s="9" t="str">
        <f>IFERROR(__xludf.DUMMYFUNCTION("""COMPUTED_VALUE"""),"臺中市立臺中第二高級中等學校")</f>
        <v>臺中市立臺中第二高級中等學校</v>
      </c>
      <c r="E850" s="9" t="str">
        <f>IFERROR(__xludf.DUMMYFUNCTION("""COMPUTED_VALUE"""),"普通科")</f>
        <v>普通科</v>
      </c>
      <c r="F850" s="9" t="str">
        <f>IFERROR(__xludf.DUMMYFUNCTION("""COMPUTED_VALUE"""),"三年級")</f>
        <v>三年級</v>
      </c>
      <c r="G850" s="10" t="str">
        <f>IFERROR(__xludf.DUMMYFUNCTION("""COMPUTED_VALUE"""),"獎狀")</f>
        <v>獎狀</v>
      </c>
      <c r="H850" s="9"/>
    </row>
    <row r="851">
      <c r="A851" s="5" t="s">
        <v>9</v>
      </c>
      <c r="B851" s="9" t="str">
        <f>IFERROR(__xludf.DUMMYFUNCTION("""COMPUTED_VALUE"""),"黃O盛")</f>
        <v>黃O盛</v>
      </c>
      <c r="C851" s="9" t="str">
        <f>IFERROR(__xludf.DUMMYFUNCTION("""COMPUTED_VALUE"""),"s21*****stu.tcssh.tc.edu.tw")</f>
        <v>s21*****stu.tcssh.tc.edu.tw</v>
      </c>
      <c r="D851" s="9" t="str">
        <f>IFERROR(__xludf.DUMMYFUNCTION("""COMPUTED_VALUE"""),"臺中市立臺中第二高級中等學校")</f>
        <v>臺中市立臺中第二高級中等學校</v>
      </c>
      <c r="E851" s="9" t="str">
        <f>IFERROR(__xludf.DUMMYFUNCTION("""COMPUTED_VALUE"""),"普通科")</f>
        <v>普通科</v>
      </c>
      <c r="F851" s="9" t="str">
        <f>IFERROR(__xludf.DUMMYFUNCTION("""COMPUTED_VALUE"""),"三年級")</f>
        <v>三年級</v>
      </c>
      <c r="G851" s="10" t="str">
        <f>IFERROR(__xludf.DUMMYFUNCTION("""COMPUTED_VALUE"""),"獎狀")</f>
        <v>獎狀</v>
      </c>
      <c r="H851" s="9"/>
    </row>
    <row r="852">
      <c r="A852" s="5" t="s">
        <v>9</v>
      </c>
      <c r="B852" s="9" t="str">
        <f>IFERROR(__xludf.DUMMYFUNCTION("""COMPUTED_VALUE"""),"陳O贏")</f>
        <v>陳O贏</v>
      </c>
      <c r="C852" s="9" t="str">
        <f>IFERROR(__xludf.DUMMYFUNCTION("""COMPUTED_VALUE"""),"s21*****stu.tcssh.tc.edu.tw")</f>
        <v>s21*****stu.tcssh.tc.edu.tw</v>
      </c>
      <c r="D852" s="9" t="str">
        <f>IFERROR(__xludf.DUMMYFUNCTION("""COMPUTED_VALUE"""),"臺中市立臺中第二高級中等學校")</f>
        <v>臺中市立臺中第二高級中等學校</v>
      </c>
      <c r="E852" s="9" t="str">
        <f>IFERROR(__xludf.DUMMYFUNCTION("""COMPUTED_VALUE"""),"普通科")</f>
        <v>普通科</v>
      </c>
      <c r="F852" s="9" t="str">
        <f>IFERROR(__xludf.DUMMYFUNCTION("""COMPUTED_VALUE"""),"三年級")</f>
        <v>三年級</v>
      </c>
      <c r="G852" s="10" t="str">
        <f>IFERROR(__xludf.DUMMYFUNCTION("""COMPUTED_VALUE"""),"獎狀")</f>
        <v>獎狀</v>
      </c>
      <c r="H852" s="11"/>
    </row>
    <row r="853">
      <c r="A853" s="5" t="s">
        <v>9</v>
      </c>
      <c r="B853" s="9" t="str">
        <f>IFERROR(__xludf.DUMMYFUNCTION("""COMPUTED_VALUE"""),"林O琪")</f>
        <v>林O琪</v>
      </c>
      <c r="C853" s="9" t="str">
        <f>IFERROR(__xludf.DUMMYFUNCTION("""COMPUTED_VALUE"""),"alb*****0501@gmail.com")</f>
        <v>alb*****0501@gmail.com</v>
      </c>
      <c r="D853" s="9" t="str">
        <f>IFERROR(__xludf.DUMMYFUNCTION("""COMPUTED_VALUE"""),"臺中市私立新民高級中學")</f>
        <v>臺中市私立新民高級中學</v>
      </c>
      <c r="E853" s="9" t="str">
        <f>IFERROR(__xludf.DUMMYFUNCTION("""COMPUTED_VALUE"""),"普通科")</f>
        <v>普通科</v>
      </c>
      <c r="F853" s="9" t="str">
        <f>IFERROR(__xludf.DUMMYFUNCTION("""COMPUTED_VALUE"""),"一年級")</f>
        <v>一年級</v>
      </c>
      <c r="G853" s="10" t="str">
        <f>IFERROR(__xludf.DUMMYFUNCTION("""COMPUTED_VALUE"""),"獎狀")</f>
        <v>獎狀</v>
      </c>
      <c r="H853" s="11" t="str">
        <f>IFERROR(__xludf.DUMMYFUNCTION("""COMPUTED_VALUE"""),"學籍資料不齊，請提供【就讀班級】")</f>
        <v>學籍資料不齊，請提供【就讀班級】</v>
      </c>
    </row>
    <row r="854">
      <c r="A854" s="5" t="s">
        <v>9</v>
      </c>
      <c r="B854" s="9" t="str">
        <f>IFERROR(__xludf.DUMMYFUNCTION("""COMPUTED_VALUE"""),"林O昱")</f>
        <v>林O昱</v>
      </c>
      <c r="C854" s="9" t="str">
        <f>IFERROR(__xludf.DUMMYFUNCTION("""COMPUTED_VALUE"""),"113*****@stu.shinmin.tc.edu.tw")</f>
        <v>113*****@stu.shinmin.tc.edu.tw</v>
      </c>
      <c r="D854" s="9" t="str">
        <f>IFERROR(__xludf.DUMMYFUNCTION("""COMPUTED_VALUE"""),"臺中市私立新民高級中學")</f>
        <v>臺中市私立新民高級中學</v>
      </c>
      <c r="E854" s="9" t="str">
        <f>IFERROR(__xludf.DUMMYFUNCTION("""COMPUTED_VALUE"""),"普通科")</f>
        <v>普通科</v>
      </c>
      <c r="F854" s="9" t="str">
        <f>IFERROR(__xludf.DUMMYFUNCTION("""COMPUTED_VALUE"""),"二年級")</f>
        <v>二年級</v>
      </c>
      <c r="G854" s="10" t="str">
        <f>IFERROR(__xludf.DUMMYFUNCTION("""COMPUTED_VALUE"""),"獎狀")</f>
        <v>獎狀</v>
      </c>
      <c r="H854" s="9"/>
    </row>
    <row r="855">
      <c r="A855" s="5" t="s">
        <v>9</v>
      </c>
      <c r="B855" s="9" t="str">
        <f>IFERROR(__xludf.DUMMYFUNCTION("""COMPUTED_VALUE"""),"賴O睿")</f>
        <v>賴O睿</v>
      </c>
      <c r="C855" s="9" t="str">
        <f>IFERROR(__xludf.DUMMYFUNCTION("""COMPUTED_VALUE"""),"113*****@stu.shinmin.tc.edu.tw")</f>
        <v>113*****@stu.shinmin.tc.edu.tw</v>
      </c>
      <c r="D855" s="9" t="str">
        <f>IFERROR(__xludf.DUMMYFUNCTION("""COMPUTED_VALUE"""),"臺中市私立新民高級中學")</f>
        <v>臺中市私立新民高級中學</v>
      </c>
      <c r="E855" s="9" t="str">
        <f>IFERROR(__xludf.DUMMYFUNCTION("""COMPUTED_VALUE"""),"普通科")</f>
        <v>普通科</v>
      </c>
      <c r="F855" s="9" t="str">
        <f>IFERROR(__xludf.DUMMYFUNCTION("""COMPUTED_VALUE"""),"二年級")</f>
        <v>二年級</v>
      </c>
      <c r="G855" s="10" t="str">
        <f>IFERROR(__xludf.DUMMYFUNCTION("""COMPUTED_VALUE"""),"獎狀")</f>
        <v>獎狀</v>
      </c>
      <c r="H855" s="9"/>
    </row>
    <row r="856">
      <c r="A856" s="5" t="s">
        <v>9</v>
      </c>
      <c r="B856" s="9" t="str">
        <f>IFERROR(__xludf.DUMMYFUNCTION("""COMPUTED_VALUE"""),"蕭O芳")</f>
        <v>蕭O芳</v>
      </c>
      <c r="C856" s="9" t="str">
        <f>IFERROR(__xludf.DUMMYFUNCTION("""COMPUTED_VALUE"""),"113*****@stu.shinmin.tc.edu.tw")</f>
        <v>113*****@stu.shinmin.tc.edu.tw</v>
      </c>
      <c r="D856" s="9" t="str">
        <f>IFERROR(__xludf.DUMMYFUNCTION("""COMPUTED_VALUE"""),"臺中市私立新民高級中學")</f>
        <v>臺中市私立新民高級中學</v>
      </c>
      <c r="E856" s="9" t="str">
        <f>IFERROR(__xludf.DUMMYFUNCTION("""COMPUTED_VALUE"""),"普通科")</f>
        <v>普通科</v>
      </c>
      <c r="F856" s="9" t="str">
        <f>IFERROR(__xludf.DUMMYFUNCTION("""COMPUTED_VALUE"""),"二年級")</f>
        <v>二年級</v>
      </c>
      <c r="G856" s="10" t="str">
        <f>IFERROR(__xludf.DUMMYFUNCTION("""COMPUTED_VALUE"""),"獎狀")</f>
        <v>獎狀</v>
      </c>
      <c r="H856" s="9"/>
    </row>
    <row r="857">
      <c r="A857" s="5" t="s">
        <v>9</v>
      </c>
      <c r="B857" s="9" t="str">
        <f>IFERROR(__xludf.DUMMYFUNCTION("""COMPUTED_VALUE"""),"郭O琦")</f>
        <v>郭O琦</v>
      </c>
      <c r="C857" s="9" t="str">
        <f>IFERROR(__xludf.DUMMYFUNCTION("""COMPUTED_VALUE"""),"hsu*****u@msa.hinet.net")</f>
        <v>hsu*****u@msa.hinet.net</v>
      </c>
      <c r="D857" s="9" t="str">
        <f>IFERROR(__xludf.DUMMYFUNCTION("""COMPUTED_VALUE"""),"臺中市私立衛道高級中學")</f>
        <v>臺中市私立衛道高級中學</v>
      </c>
      <c r="E857" s="9" t="str">
        <f>IFERROR(__xludf.DUMMYFUNCTION("""COMPUTED_VALUE"""),"普通科")</f>
        <v>普通科</v>
      </c>
      <c r="F857" s="9" t="str">
        <f>IFERROR(__xludf.DUMMYFUNCTION("""COMPUTED_VALUE"""),"一年級")</f>
        <v>一年級</v>
      </c>
      <c r="G857" s="10" t="str">
        <f>IFERROR(__xludf.DUMMYFUNCTION("""COMPUTED_VALUE"""),"獎狀")</f>
        <v>獎狀</v>
      </c>
      <c r="H857" s="9"/>
    </row>
    <row r="858">
      <c r="A858" s="5" t="s">
        <v>9</v>
      </c>
      <c r="B858" s="9" t="str">
        <f>IFERROR(__xludf.DUMMYFUNCTION("""COMPUTED_VALUE"""),"李O澤")</f>
        <v>李O澤</v>
      </c>
      <c r="C858" s="9" t="str">
        <f>IFERROR(__xludf.DUMMYFUNCTION("""COMPUTED_VALUE"""),"310*****tsh.tc.edu.tw")</f>
        <v>310*****tsh.tc.edu.tw</v>
      </c>
      <c r="D858" s="9" t="str">
        <f>IFERROR(__xludf.DUMMYFUNCTION("""COMPUTED_VALUE"""),"臺中市私立衛道高級中學")</f>
        <v>臺中市私立衛道高級中學</v>
      </c>
      <c r="E858" s="9" t="str">
        <f>IFERROR(__xludf.DUMMYFUNCTION("""COMPUTED_VALUE"""),"普通科")</f>
        <v>普通科</v>
      </c>
      <c r="F858" s="9" t="str">
        <f>IFERROR(__xludf.DUMMYFUNCTION("""COMPUTED_VALUE"""),"二年級")</f>
        <v>二年級</v>
      </c>
      <c r="G858" s="10" t="str">
        <f>IFERROR(__xludf.DUMMYFUNCTION("""COMPUTED_VALUE"""),"獎狀")</f>
        <v>獎狀</v>
      </c>
      <c r="H858" s="9"/>
    </row>
    <row r="859">
      <c r="A859" s="5" t="s">
        <v>9</v>
      </c>
      <c r="B859" s="9" t="str">
        <f>IFERROR(__xludf.DUMMYFUNCTION("""COMPUTED_VALUE"""),"王O庭")</f>
        <v>王O庭</v>
      </c>
      <c r="C859" s="9" t="str">
        <f>IFERROR(__xludf.DUMMYFUNCTION("""COMPUTED_VALUE"""),"u31*****wagor.tc.edu.tw")</f>
        <v>u31*****wagor.tc.edu.tw</v>
      </c>
      <c r="D859" s="9" t="str">
        <f>IFERROR(__xludf.DUMMYFUNCTION("""COMPUTED_VALUE"""),"葳格學校財團法人臺中市葳格高級中學")</f>
        <v>葳格學校財團法人臺中市葳格高級中學</v>
      </c>
      <c r="E859" s="9" t="str">
        <f>IFERROR(__xludf.DUMMYFUNCTION("""COMPUTED_VALUE"""),"普通科")</f>
        <v>普通科</v>
      </c>
      <c r="F859" s="9" t="str">
        <f>IFERROR(__xludf.DUMMYFUNCTION("""COMPUTED_VALUE"""),"二年級")</f>
        <v>二年級</v>
      </c>
      <c r="G859" s="10" t="str">
        <f>IFERROR(__xludf.DUMMYFUNCTION("""COMPUTED_VALUE"""),"獎狀")</f>
        <v>獎狀</v>
      </c>
      <c r="H859" s="9"/>
    </row>
    <row r="860">
      <c r="A860" s="5" t="s">
        <v>9</v>
      </c>
      <c r="B860" s="9" t="str">
        <f>IFERROR(__xludf.DUMMYFUNCTION("""COMPUTED_VALUE"""),"邱O宏")</f>
        <v>邱O宏</v>
      </c>
      <c r="C860" s="9" t="str">
        <f>IFERROR(__xludf.DUMMYFUNCTION("""COMPUTED_VALUE"""),"u31*****wagor.tc.edu.tw")</f>
        <v>u31*****wagor.tc.edu.tw</v>
      </c>
      <c r="D860" s="9" t="str">
        <f>IFERROR(__xludf.DUMMYFUNCTION("""COMPUTED_VALUE"""),"葳格學校財團法人臺中市葳格高級中學")</f>
        <v>葳格學校財團法人臺中市葳格高級中學</v>
      </c>
      <c r="E860" s="9" t="str">
        <f>IFERROR(__xludf.DUMMYFUNCTION("""COMPUTED_VALUE"""),"普通科")</f>
        <v>普通科</v>
      </c>
      <c r="F860" s="9" t="str">
        <f>IFERROR(__xludf.DUMMYFUNCTION("""COMPUTED_VALUE"""),"二年級")</f>
        <v>二年級</v>
      </c>
      <c r="G860" s="10" t="str">
        <f>IFERROR(__xludf.DUMMYFUNCTION("""COMPUTED_VALUE"""),"獎狀")</f>
        <v>獎狀</v>
      </c>
      <c r="H860" s="9"/>
    </row>
    <row r="861">
      <c r="A861" s="5" t="s">
        <v>9</v>
      </c>
      <c r="B861" s="9" t="str">
        <f>IFERROR(__xludf.DUMMYFUNCTION("""COMPUTED_VALUE"""),"簡O棻")</f>
        <v>簡O棻</v>
      </c>
      <c r="C861" s="9" t="str">
        <f>IFERROR(__xludf.DUMMYFUNCTION("""COMPUTED_VALUE"""),"u31*****wagor.tc.edu.tw")</f>
        <v>u31*****wagor.tc.edu.tw</v>
      </c>
      <c r="D861" s="9" t="str">
        <f>IFERROR(__xludf.DUMMYFUNCTION("""COMPUTED_VALUE"""),"葳格學校財團法人臺中市葳格高級中學")</f>
        <v>葳格學校財團法人臺中市葳格高級中學</v>
      </c>
      <c r="E861" s="9" t="str">
        <f>IFERROR(__xludf.DUMMYFUNCTION("""COMPUTED_VALUE"""),"普通科")</f>
        <v>普通科</v>
      </c>
      <c r="F861" s="9" t="str">
        <f>IFERROR(__xludf.DUMMYFUNCTION("""COMPUTED_VALUE"""),"二年級")</f>
        <v>二年級</v>
      </c>
      <c r="G861" s="10" t="str">
        <f>IFERROR(__xludf.DUMMYFUNCTION("""COMPUTED_VALUE"""),"獎狀")</f>
        <v>獎狀</v>
      </c>
      <c r="H861" s="9"/>
    </row>
    <row r="862">
      <c r="A862" s="5" t="s">
        <v>9</v>
      </c>
      <c r="B862" s="9" t="str">
        <f>IFERROR(__xludf.DUMMYFUNCTION("""COMPUTED_VALUE"""),"林O晨")</f>
        <v>林O晨</v>
      </c>
      <c r="C862" s="9" t="str">
        <f>IFERROR(__xludf.DUMMYFUNCTION("""COMPUTED_VALUE"""),"u31*****wagor.tc.edu.tw")</f>
        <v>u31*****wagor.tc.edu.tw</v>
      </c>
      <c r="D862" s="9" t="str">
        <f>IFERROR(__xludf.DUMMYFUNCTION("""COMPUTED_VALUE"""),"葳格學校財團法人臺中市葳格高級中學")</f>
        <v>葳格學校財團法人臺中市葳格高級中學</v>
      </c>
      <c r="E862" s="9" t="str">
        <f>IFERROR(__xludf.DUMMYFUNCTION("""COMPUTED_VALUE"""),"普通科")</f>
        <v>普通科</v>
      </c>
      <c r="F862" s="9" t="str">
        <f>IFERROR(__xludf.DUMMYFUNCTION("""COMPUTED_VALUE"""),"二年級")</f>
        <v>二年級</v>
      </c>
      <c r="G862" s="10" t="str">
        <f>IFERROR(__xludf.DUMMYFUNCTION("""COMPUTED_VALUE"""),"獎狀")</f>
        <v>獎狀</v>
      </c>
      <c r="H862" s="11"/>
    </row>
    <row r="863">
      <c r="A863" s="5" t="s">
        <v>9</v>
      </c>
      <c r="B863" s="9" t="str">
        <f>IFERROR(__xludf.DUMMYFUNCTION("""COMPUTED_VALUE"""),"張O寧")</f>
        <v>張O寧</v>
      </c>
      <c r="C863" s="9" t="str">
        <f>IFERROR(__xludf.DUMMYFUNCTION("""COMPUTED_VALUE"""),"zzh*****096@gmail.com")</f>
        <v>zzh*****096@gmail.com</v>
      </c>
      <c r="D863" s="9" t="str">
        <f>IFERROR(__xludf.DUMMYFUNCTION("""COMPUTED_VALUE"""),"臺中市立西苑高級中學")</f>
        <v>臺中市立西苑高級中學</v>
      </c>
      <c r="E863" s="9" t="str">
        <f>IFERROR(__xludf.DUMMYFUNCTION("""COMPUTED_VALUE"""),"普通科")</f>
        <v>普通科</v>
      </c>
      <c r="F863" s="9" t="str">
        <f>IFERROR(__xludf.DUMMYFUNCTION("""COMPUTED_VALUE"""),"一年級")</f>
        <v>一年級</v>
      </c>
      <c r="G863" s="10" t="str">
        <f>IFERROR(__xludf.DUMMYFUNCTION("""COMPUTED_VALUE"""),"獎狀")</f>
        <v>獎狀</v>
      </c>
      <c r="H863" s="11" t="str">
        <f>IFERROR(__xludf.DUMMYFUNCTION("""COMPUTED_VALUE"""),"學籍資料不齊，請提供【就讀班級】")</f>
        <v>學籍資料不齊，請提供【就讀班級】</v>
      </c>
    </row>
    <row r="864">
      <c r="A864" s="5" t="s">
        <v>9</v>
      </c>
      <c r="B864" s="9" t="str">
        <f>IFERROR(__xludf.DUMMYFUNCTION("""COMPUTED_VALUE"""),"武O珠")</f>
        <v>武O珠</v>
      </c>
      <c r="C864" s="9" t="str">
        <f>IFERROR(__xludf.DUMMYFUNCTION("""COMPUTED_VALUE"""),"wen*****61018@gmail.com")</f>
        <v>wen*****61018@gmail.com</v>
      </c>
      <c r="D864" s="9" t="str">
        <f>IFERROR(__xludf.DUMMYFUNCTION("""COMPUTED_VALUE"""),"臺中市立文華高級中等學校")</f>
        <v>臺中市立文華高級中等學校</v>
      </c>
      <c r="E864" s="9" t="str">
        <f>IFERROR(__xludf.DUMMYFUNCTION("""COMPUTED_VALUE"""),"普通科")</f>
        <v>普通科</v>
      </c>
      <c r="F864" s="9" t="str">
        <f>IFERROR(__xludf.DUMMYFUNCTION("""COMPUTED_VALUE"""),"一年級")</f>
        <v>一年級</v>
      </c>
      <c r="G864" s="10" t="str">
        <f>IFERROR(__xludf.DUMMYFUNCTION("""COMPUTED_VALUE"""),"獎狀")</f>
        <v>獎狀</v>
      </c>
      <c r="H864" s="9"/>
    </row>
    <row r="865">
      <c r="A865" s="5" t="s">
        <v>9</v>
      </c>
      <c r="B865" s="9" t="str">
        <f>IFERROR(__xludf.DUMMYFUNCTION("""COMPUTED_VALUE"""),"張O銨")</f>
        <v>張O銨</v>
      </c>
      <c r="C865" s="9" t="str">
        <f>IFERROR(__xludf.DUMMYFUNCTION("""COMPUTED_VALUE"""),"s21*****whsh.tc.edu.tw")</f>
        <v>s21*****whsh.tc.edu.tw</v>
      </c>
      <c r="D865" s="9" t="str">
        <f>IFERROR(__xludf.DUMMYFUNCTION("""COMPUTED_VALUE"""),"臺中市立文華高級中等學校")</f>
        <v>臺中市立文華高級中等學校</v>
      </c>
      <c r="E865" s="9" t="str">
        <f>IFERROR(__xludf.DUMMYFUNCTION("""COMPUTED_VALUE"""),"普通科")</f>
        <v>普通科</v>
      </c>
      <c r="F865" s="9" t="str">
        <f>IFERROR(__xludf.DUMMYFUNCTION("""COMPUTED_VALUE"""),"三年級")</f>
        <v>三年級</v>
      </c>
      <c r="G865" s="10" t="str">
        <f>IFERROR(__xludf.DUMMYFUNCTION("""COMPUTED_VALUE"""),"獎狀")</f>
        <v>獎狀</v>
      </c>
      <c r="H865" s="11"/>
    </row>
    <row r="866">
      <c r="A866" s="5" t="s">
        <v>9</v>
      </c>
      <c r="B866" s="9" t="str">
        <f>IFERROR(__xludf.DUMMYFUNCTION("""COMPUTED_VALUE"""),"蔡O庭")</f>
        <v>蔡O庭</v>
      </c>
      <c r="C866" s="9" t="str">
        <f>IFERROR(__xludf.DUMMYFUNCTION("""COMPUTED_VALUE"""),"500*****t.tc.edu.tw")</f>
        <v>500*****t.tc.edu.tw</v>
      </c>
      <c r="D866" s="9" t="str">
        <f>IFERROR(__xludf.DUMMYFUNCTION("""COMPUTED_VALUE"""),"臺中市私立嶺東高級中學")</f>
        <v>臺中市私立嶺東高級中學</v>
      </c>
      <c r="E866" s="9" t="str">
        <f>IFERROR(__xludf.DUMMYFUNCTION("""COMPUTED_VALUE"""),"普通科")</f>
        <v>普通科</v>
      </c>
      <c r="F866" s="9" t="str">
        <f>IFERROR(__xludf.DUMMYFUNCTION("""COMPUTED_VALUE"""),"一年級")</f>
        <v>一年級</v>
      </c>
      <c r="G866" s="10" t="str">
        <f>IFERROR(__xludf.DUMMYFUNCTION("""COMPUTED_VALUE"""),"獎狀")</f>
        <v>獎狀</v>
      </c>
      <c r="H866" s="11"/>
    </row>
    <row r="867">
      <c r="A867" s="5" t="s">
        <v>9</v>
      </c>
      <c r="B867" s="9" t="str">
        <f>IFERROR(__xludf.DUMMYFUNCTION("""COMPUTED_VALUE"""),"陳O羽")</f>
        <v>陳O羽</v>
      </c>
      <c r="C867" s="9" t="str">
        <f>IFERROR(__xludf.DUMMYFUNCTION("""COMPUTED_VALUE"""),"hea*****223@yahoo.com.tw")</f>
        <v>hea*****223@yahoo.com.tw</v>
      </c>
      <c r="D867" s="9" t="str">
        <f>IFERROR(__xludf.DUMMYFUNCTION("""COMPUTED_VALUE"""),"臺中市私立嶺東高級中學")</f>
        <v>臺中市私立嶺東高級中學</v>
      </c>
      <c r="E867" s="9" t="str">
        <f>IFERROR(__xludf.DUMMYFUNCTION("""COMPUTED_VALUE"""),"普通科")</f>
        <v>普通科</v>
      </c>
      <c r="F867" s="9" t="str">
        <f>IFERROR(__xludf.DUMMYFUNCTION("""COMPUTED_VALUE"""),"三年級")</f>
        <v>三年級</v>
      </c>
      <c r="G867" s="10" t="str">
        <f>IFERROR(__xludf.DUMMYFUNCTION("""COMPUTED_VALUE"""),"獎狀")</f>
        <v>獎狀</v>
      </c>
      <c r="H867" s="9"/>
    </row>
    <row r="868">
      <c r="A868" s="5" t="s">
        <v>9</v>
      </c>
      <c r="B868" s="9" t="str">
        <f>IFERROR(__xludf.DUMMYFUNCTION("""COMPUTED_VALUE"""),"羅O杰")</f>
        <v>羅O杰</v>
      </c>
      <c r="C868" s="9" t="str">
        <f>IFERROR(__xludf.DUMMYFUNCTION("""COMPUTED_VALUE"""),"t12*****h.tc.edu.tw")</f>
        <v>t12*****h.tc.edu.tw</v>
      </c>
      <c r="D868" s="9" t="str">
        <f>IFERROR(__xludf.DUMMYFUNCTION("""COMPUTED_VALUE"""),"臺中市華盛頓高級中學")</f>
        <v>臺中市華盛頓高級中學</v>
      </c>
      <c r="E868" s="9" t="str">
        <f>IFERROR(__xludf.DUMMYFUNCTION("""COMPUTED_VALUE"""),"普通科")</f>
        <v>普通科</v>
      </c>
      <c r="F868" s="9" t="str">
        <f>IFERROR(__xludf.DUMMYFUNCTION("""COMPUTED_VALUE"""),"一年級")</f>
        <v>一年級</v>
      </c>
      <c r="G868" s="10" t="str">
        <f>IFERROR(__xludf.DUMMYFUNCTION("""COMPUTED_VALUE"""),"獎狀")</f>
        <v>獎狀</v>
      </c>
      <c r="H868" s="9"/>
    </row>
    <row r="869">
      <c r="A869" s="5" t="s">
        <v>9</v>
      </c>
      <c r="B869" s="9" t="str">
        <f>IFERROR(__xludf.DUMMYFUNCTION("""COMPUTED_VALUE"""),"林O叡")</f>
        <v>林O叡</v>
      </c>
      <c r="C869" s="9" t="str">
        <f>IFERROR(__xludf.DUMMYFUNCTION("""COMPUTED_VALUE"""),"lin*****206@gmail.com")</f>
        <v>lin*****206@gmail.com</v>
      </c>
      <c r="D869" s="9" t="str">
        <f>IFERROR(__xludf.DUMMYFUNCTION("""COMPUTED_VALUE"""),"臺中市立大里高級中學")</f>
        <v>臺中市立大里高級中學</v>
      </c>
      <c r="E869" s="9" t="str">
        <f>IFERROR(__xludf.DUMMYFUNCTION("""COMPUTED_VALUE"""),"普通科")</f>
        <v>普通科</v>
      </c>
      <c r="F869" s="9" t="str">
        <f>IFERROR(__xludf.DUMMYFUNCTION("""COMPUTED_VALUE"""),"一年級")</f>
        <v>一年級</v>
      </c>
      <c r="G869" s="10" t="str">
        <f>IFERROR(__xludf.DUMMYFUNCTION("""COMPUTED_VALUE"""),"獎狀")</f>
        <v>獎狀</v>
      </c>
      <c r="H869" s="9"/>
    </row>
    <row r="870">
      <c r="A870" s="5" t="s">
        <v>9</v>
      </c>
      <c r="B870" s="9" t="str">
        <f>IFERROR(__xludf.DUMMYFUNCTION("""COMPUTED_VALUE"""),"黃O宸")</f>
        <v>黃O宸</v>
      </c>
      <c r="C870" s="9" t="str">
        <f>IFERROR(__xludf.DUMMYFUNCTION("""COMPUTED_VALUE"""),"shs*****121@stu.ctas.tc.edu.tw")</f>
        <v>shs*****121@stu.ctas.tc.edu.tw</v>
      </c>
      <c r="D870" s="9" t="str">
        <f>IFERROR(__xludf.DUMMYFUNCTION("""COMPUTED_VALUE"""),"臺中市私立僑泰高級中學")</f>
        <v>臺中市私立僑泰高級中學</v>
      </c>
      <c r="E870" s="9" t="str">
        <f>IFERROR(__xludf.DUMMYFUNCTION("""COMPUTED_VALUE"""),"普通科")</f>
        <v>普通科</v>
      </c>
      <c r="F870" s="9" t="str">
        <f>IFERROR(__xludf.DUMMYFUNCTION("""COMPUTED_VALUE"""),"二年級")</f>
        <v>二年級</v>
      </c>
      <c r="G870" s="10" t="str">
        <f>IFERROR(__xludf.DUMMYFUNCTION("""COMPUTED_VALUE"""),"★商品卡$1000")</f>
        <v>★商品卡$1000</v>
      </c>
      <c r="H870" s="9"/>
    </row>
    <row r="871">
      <c r="A871" s="5" t="s">
        <v>9</v>
      </c>
      <c r="B871" s="9" t="str">
        <f>IFERROR(__xludf.DUMMYFUNCTION("""COMPUTED_VALUE"""),"許O傑")</f>
        <v>許O傑</v>
      </c>
      <c r="C871" s="9" t="str">
        <f>IFERROR(__xludf.DUMMYFUNCTION("""COMPUTED_VALUE"""),"shs*****025@stu.ctas.tc.edu.tw")</f>
        <v>shs*****025@stu.ctas.tc.edu.tw</v>
      </c>
      <c r="D871" s="9" t="str">
        <f>IFERROR(__xludf.DUMMYFUNCTION("""COMPUTED_VALUE"""),"臺中市私立僑泰高級中學")</f>
        <v>臺中市私立僑泰高級中學</v>
      </c>
      <c r="E871" s="9" t="str">
        <f>IFERROR(__xludf.DUMMYFUNCTION("""COMPUTED_VALUE"""),"普通科")</f>
        <v>普通科</v>
      </c>
      <c r="F871" s="9" t="str">
        <f>IFERROR(__xludf.DUMMYFUNCTION("""COMPUTED_VALUE"""),"二年級")</f>
        <v>二年級</v>
      </c>
      <c r="G871" s="10" t="str">
        <f>IFERROR(__xludf.DUMMYFUNCTION("""COMPUTED_VALUE"""),"獎狀")</f>
        <v>獎狀</v>
      </c>
      <c r="H871" s="9"/>
    </row>
    <row r="872">
      <c r="A872" s="5" t="s">
        <v>9</v>
      </c>
      <c r="B872" s="9" t="str">
        <f>IFERROR(__xludf.DUMMYFUNCTION("""COMPUTED_VALUE"""),"林O辰")</f>
        <v>林O辰</v>
      </c>
      <c r="C872" s="9" t="str">
        <f>IFERROR(__xludf.DUMMYFUNCTION("""COMPUTED_VALUE"""),"shs*****013@stu.ctas.tc.edu.tw")</f>
        <v>shs*****013@stu.ctas.tc.edu.tw</v>
      </c>
      <c r="D872" s="9" t="str">
        <f>IFERROR(__xludf.DUMMYFUNCTION("""COMPUTED_VALUE"""),"臺中市私立僑泰高級中學")</f>
        <v>臺中市私立僑泰高級中學</v>
      </c>
      <c r="E872" s="9" t="str">
        <f>IFERROR(__xludf.DUMMYFUNCTION("""COMPUTED_VALUE"""),"普通科")</f>
        <v>普通科</v>
      </c>
      <c r="F872" s="9" t="str">
        <f>IFERROR(__xludf.DUMMYFUNCTION("""COMPUTED_VALUE"""),"二年級")</f>
        <v>二年級</v>
      </c>
      <c r="G872" s="10" t="str">
        <f>IFERROR(__xludf.DUMMYFUNCTION("""COMPUTED_VALUE"""),"獎狀")</f>
        <v>獎狀</v>
      </c>
      <c r="H872" s="9"/>
    </row>
    <row r="873">
      <c r="A873" s="5" t="s">
        <v>9</v>
      </c>
      <c r="B873" s="9" t="str">
        <f>IFERROR(__xludf.DUMMYFUNCTION("""COMPUTED_VALUE"""),"林O岑")</f>
        <v>林O岑</v>
      </c>
      <c r="C873" s="9" t="str">
        <f>IFERROR(__xludf.DUMMYFUNCTION("""COMPUTED_VALUE"""),"shs*****014@stu.ctas.tc.edu.tw")</f>
        <v>shs*****014@stu.ctas.tc.edu.tw</v>
      </c>
      <c r="D873" s="9" t="str">
        <f>IFERROR(__xludf.DUMMYFUNCTION("""COMPUTED_VALUE"""),"臺中市私立僑泰高級中學")</f>
        <v>臺中市私立僑泰高級中學</v>
      </c>
      <c r="E873" s="9" t="str">
        <f>IFERROR(__xludf.DUMMYFUNCTION("""COMPUTED_VALUE"""),"普通科")</f>
        <v>普通科</v>
      </c>
      <c r="F873" s="9" t="str">
        <f>IFERROR(__xludf.DUMMYFUNCTION("""COMPUTED_VALUE"""),"二年級")</f>
        <v>二年級</v>
      </c>
      <c r="G873" s="10" t="str">
        <f>IFERROR(__xludf.DUMMYFUNCTION("""COMPUTED_VALUE"""),"■商品卡$200")</f>
        <v>■商品卡$200</v>
      </c>
      <c r="H873" s="9"/>
    </row>
    <row r="874">
      <c r="A874" s="5" t="s">
        <v>9</v>
      </c>
      <c r="B874" s="9" t="str">
        <f>IFERROR(__xludf.DUMMYFUNCTION("""COMPUTED_VALUE"""),"洪O哲")</f>
        <v>洪O哲</v>
      </c>
      <c r="C874" s="9" t="str">
        <f>IFERROR(__xludf.DUMMYFUNCTION("""COMPUTED_VALUE"""),"shs*****020@stu.ctas.tc.edu.tw")</f>
        <v>shs*****020@stu.ctas.tc.edu.tw</v>
      </c>
      <c r="D874" s="9" t="str">
        <f>IFERROR(__xludf.DUMMYFUNCTION("""COMPUTED_VALUE"""),"臺中市私立僑泰高級中學")</f>
        <v>臺中市私立僑泰高級中學</v>
      </c>
      <c r="E874" s="9" t="str">
        <f>IFERROR(__xludf.DUMMYFUNCTION("""COMPUTED_VALUE"""),"普通科")</f>
        <v>普通科</v>
      </c>
      <c r="F874" s="9" t="str">
        <f>IFERROR(__xludf.DUMMYFUNCTION("""COMPUTED_VALUE"""),"二年級")</f>
        <v>二年級</v>
      </c>
      <c r="G874" s="10" t="str">
        <f>IFERROR(__xludf.DUMMYFUNCTION("""COMPUTED_VALUE"""),"獎狀")</f>
        <v>獎狀</v>
      </c>
      <c r="H874" s="9"/>
    </row>
    <row r="875">
      <c r="A875" s="5" t="s">
        <v>9</v>
      </c>
      <c r="B875" s="9" t="str">
        <f>IFERROR(__xludf.DUMMYFUNCTION("""COMPUTED_VALUE"""),"許O泓")</f>
        <v>許O泓</v>
      </c>
      <c r="C875" s="9" t="str">
        <f>IFERROR(__xludf.DUMMYFUNCTION("""COMPUTED_VALUE"""),"shs*****024@stu.ctas.tc.edu.tw")</f>
        <v>shs*****024@stu.ctas.tc.edu.tw</v>
      </c>
      <c r="D875" s="9" t="str">
        <f>IFERROR(__xludf.DUMMYFUNCTION("""COMPUTED_VALUE"""),"臺中市私立僑泰高級中學")</f>
        <v>臺中市私立僑泰高級中學</v>
      </c>
      <c r="E875" s="9" t="str">
        <f>IFERROR(__xludf.DUMMYFUNCTION("""COMPUTED_VALUE"""),"普通科")</f>
        <v>普通科</v>
      </c>
      <c r="F875" s="9" t="str">
        <f>IFERROR(__xludf.DUMMYFUNCTION("""COMPUTED_VALUE"""),"二年級")</f>
        <v>二年級</v>
      </c>
      <c r="G875" s="10" t="str">
        <f>IFERROR(__xludf.DUMMYFUNCTION("""COMPUTED_VALUE"""),"○商品卡$500")</f>
        <v>○商品卡$500</v>
      </c>
      <c r="H875" s="9"/>
    </row>
    <row r="876">
      <c r="A876" s="5" t="s">
        <v>9</v>
      </c>
      <c r="B876" s="9" t="str">
        <f>IFERROR(__xludf.DUMMYFUNCTION("""COMPUTED_VALUE"""),"陳O中")</f>
        <v>陳O中</v>
      </c>
      <c r="C876" s="9" t="str">
        <f>IFERROR(__xludf.DUMMYFUNCTION("""COMPUTED_VALUE"""),"shs*****026@stu.ctas.tc.edu.tw")</f>
        <v>shs*****026@stu.ctas.tc.edu.tw</v>
      </c>
      <c r="D876" s="9" t="str">
        <f>IFERROR(__xludf.DUMMYFUNCTION("""COMPUTED_VALUE"""),"臺中市私立僑泰高級中學")</f>
        <v>臺中市私立僑泰高級中學</v>
      </c>
      <c r="E876" s="9" t="str">
        <f>IFERROR(__xludf.DUMMYFUNCTION("""COMPUTED_VALUE"""),"普通科")</f>
        <v>普通科</v>
      </c>
      <c r="F876" s="9" t="str">
        <f>IFERROR(__xludf.DUMMYFUNCTION("""COMPUTED_VALUE"""),"二年級")</f>
        <v>二年級</v>
      </c>
      <c r="G876" s="10" t="str">
        <f>IFERROR(__xludf.DUMMYFUNCTION("""COMPUTED_VALUE"""),"獎狀")</f>
        <v>獎狀</v>
      </c>
      <c r="H876" s="9"/>
    </row>
    <row r="877">
      <c r="A877" s="5" t="s">
        <v>9</v>
      </c>
      <c r="B877" s="9" t="str">
        <f>IFERROR(__xludf.DUMMYFUNCTION("""COMPUTED_VALUE"""),"柯O語")</f>
        <v>柯O語</v>
      </c>
      <c r="C877" s="9" t="str">
        <f>IFERROR(__xludf.DUMMYFUNCTION("""COMPUTED_VALUE"""),"shs*****018@stu.ctas.tc.edu.tw")</f>
        <v>shs*****018@stu.ctas.tc.edu.tw</v>
      </c>
      <c r="D877" s="9" t="str">
        <f>IFERROR(__xludf.DUMMYFUNCTION("""COMPUTED_VALUE"""),"臺中市私立僑泰高級中學")</f>
        <v>臺中市私立僑泰高級中學</v>
      </c>
      <c r="E877" s="9" t="str">
        <f>IFERROR(__xludf.DUMMYFUNCTION("""COMPUTED_VALUE"""),"普通科")</f>
        <v>普通科</v>
      </c>
      <c r="F877" s="9" t="str">
        <f>IFERROR(__xludf.DUMMYFUNCTION("""COMPUTED_VALUE"""),"二年級")</f>
        <v>二年級</v>
      </c>
      <c r="G877" s="10" t="str">
        <f>IFERROR(__xludf.DUMMYFUNCTION("""COMPUTED_VALUE"""),"★商品卡$1000")</f>
        <v>★商品卡$1000</v>
      </c>
      <c r="H877" s="9"/>
    </row>
    <row r="878">
      <c r="A878" s="5" t="s">
        <v>9</v>
      </c>
      <c r="B878" s="9" t="str">
        <f>IFERROR(__xludf.DUMMYFUNCTION("""COMPUTED_VALUE"""),"張O盈")</f>
        <v>張O盈</v>
      </c>
      <c r="C878" s="9" t="str">
        <f>IFERROR(__xludf.DUMMYFUNCTION("""COMPUTED_VALUE"""),"shs*****022@stu.ctas.tc.edu.tw")</f>
        <v>shs*****022@stu.ctas.tc.edu.tw</v>
      </c>
      <c r="D878" s="9" t="str">
        <f>IFERROR(__xludf.DUMMYFUNCTION("""COMPUTED_VALUE"""),"臺中市私立僑泰高級中學")</f>
        <v>臺中市私立僑泰高級中學</v>
      </c>
      <c r="E878" s="9" t="str">
        <f>IFERROR(__xludf.DUMMYFUNCTION("""COMPUTED_VALUE"""),"普通科")</f>
        <v>普通科</v>
      </c>
      <c r="F878" s="9" t="str">
        <f>IFERROR(__xludf.DUMMYFUNCTION("""COMPUTED_VALUE"""),"二年級")</f>
        <v>二年級</v>
      </c>
      <c r="G878" s="10" t="str">
        <f>IFERROR(__xludf.DUMMYFUNCTION("""COMPUTED_VALUE"""),"獎狀")</f>
        <v>獎狀</v>
      </c>
      <c r="H878" s="9"/>
    </row>
    <row r="879">
      <c r="A879" s="5" t="s">
        <v>9</v>
      </c>
      <c r="B879" s="9" t="str">
        <f>IFERROR(__xludf.DUMMYFUNCTION("""COMPUTED_VALUE"""),"陳O鴻")</f>
        <v>陳O鴻</v>
      </c>
      <c r="C879" s="9" t="str">
        <f>IFERROR(__xludf.DUMMYFUNCTION("""COMPUTED_VALUE"""),"shs*****065@stu.ctas.tc.edu.tw")</f>
        <v>shs*****065@stu.ctas.tc.edu.tw</v>
      </c>
      <c r="D879" s="9" t="str">
        <f>IFERROR(__xludf.DUMMYFUNCTION("""COMPUTED_VALUE"""),"臺中市私立僑泰高級中學")</f>
        <v>臺中市私立僑泰高級中學</v>
      </c>
      <c r="E879" s="9" t="str">
        <f>IFERROR(__xludf.DUMMYFUNCTION("""COMPUTED_VALUE"""),"普通科")</f>
        <v>普通科</v>
      </c>
      <c r="F879" s="9" t="str">
        <f>IFERROR(__xludf.DUMMYFUNCTION("""COMPUTED_VALUE"""),"二年級")</f>
        <v>二年級</v>
      </c>
      <c r="G879" s="10" t="str">
        <f>IFERROR(__xludf.DUMMYFUNCTION("""COMPUTED_VALUE"""),"○商品卡$500")</f>
        <v>○商品卡$500</v>
      </c>
      <c r="H879" s="9"/>
    </row>
    <row r="880">
      <c r="A880" s="5" t="s">
        <v>9</v>
      </c>
      <c r="B880" s="9" t="str">
        <f>IFERROR(__xludf.DUMMYFUNCTION("""COMPUTED_VALUE"""),"林O瑄")</f>
        <v>林O瑄</v>
      </c>
      <c r="C880" s="9" t="str">
        <f>IFERROR(__xludf.DUMMYFUNCTION("""COMPUTED_VALUE"""),"shs*****049@stu.ctas.tc.edu.tw")</f>
        <v>shs*****049@stu.ctas.tc.edu.tw</v>
      </c>
      <c r="D880" s="9" t="str">
        <f>IFERROR(__xludf.DUMMYFUNCTION("""COMPUTED_VALUE"""),"臺中市私立僑泰高級中學")</f>
        <v>臺中市私立僑泰高級中學</v>
      </c>
      <c r="E880" s="9" t="str">
        <f>IFERROR(__xludf.DUMMYFUNCTION("""COMPUTED_VALUE"""),"普通科")</f>
        <v>普通科</v>
      </c>
      <c r="F880" s="9" t="str">
        <f>IFERROR(__xludf.DUMMYFUNCTION("""COMPUTED_VALUE"""),"二年級")</f>
        <v>二年級</v>
      </c>
      <c r="G880" s="10" t="str">
        <f>IFERROR(__xludf.DUMMYFUNCTION("""COMPUTED_VALUE"""),"獎狀")</f>
        <v>獎狀</v>
      </c>
      <c r="H880" s="9"/>
    </row>
    <row r="881">
      <c r="A881" s="5" t="s">
        <v>9</v>
      </c>
      <c r="B881" s="9" t="str">
        <f>IFERROR(__xludf.DUMMYFUNCTION("""COMPUTED_VALUE"""),"陳O任")</f>
        <v>陳O任</v>
      </c>
      <c r="C881" s="9" t="str">
        <f>IFERROR(__xludf.DUMMYFUNCTION("""COMPUTED_VALUE"""),"shs*****029@stu.ctas.tc.edu.tw")</f>
        <v>shs*****029@stu.ctas.tc.edu.tw</v>
      </c>
      <c r="D881" s="9" t="str">
        <f>IFERROR(__xludf.DUMMYFUNCTION("""COMPUTED_VALUE"""),"臺中市私立僑泰高級中學")</f>
        <v>臺中市私立僑泰高級中學</v>
      </c>
      <c r="E881" s="9" t="str">
        <f>IFERROR(__xludf.DUMMYFUNCTION("""COMPUTED_VALUE"""),"普通科")</f>
        <v>普通科</v>
      </c>
      <c r="F881" s="9" t="str">
        <f>IFERROR(__xludf.DUMMYFUNCTION("""COMPUTED_VALUE"""),"二年級")</f>
        <v>二年級</v>
      </c>
      <c r="G881" s="10" t="str">
        <f>IFERROR(__xludf.DUMMYFUNCTION("""COMPUTED_VALUE"""),"獎狀")</f>
        <v>獎狀</v>
      </c>
      <c r="H881" s="9"/>
    </row>
    <row r="882">
      <c r="A882" s="5" t="s">
        <v>9</v>
      </c>
      <c r="B882" s="9" t="str">
        <f>IFERROR(__xludf.DUMMYFUNCTION("""COMPUTED_VALUE"""),"王O芸")</f>
        <v>王O芸</v>
      </c>
      <c r="C882" s="9" t="str">
        <f>IFERROR(__xludf.DUMMYFUNCTION("""COMPUTED_VALUE"""),"shs*****001@stu.ctas.tc.edu.tw")</f>
        <v>shs*****001@stu.ctas.tc.edu.tw</v>
      </c>
      <c r="D882" s="9" t="str">
        <f>IFERROR(__xludf.DUMMYFUNCTION("""COMPUTED_VALUE"""),"臺中市私立僑泰高級中學")</f>
        <v>臺中市私立僑泰高級中學</v>
      </c>
      <c r="E882" s="9" t="str">
        <f>IFERROR(__xludf.DUMMYFUNCTION("""COMPUTED_VALUE"""),"普通科")</f>
        <v>普通科</v>
      </c>
      <c r="F882" s="9" t="str">
        <f>IFERROR(__xludf.DUMMYFUNCTION("""COMPUTED_VALUE"""),"二年級")</f>
        <v>二年級</v>
      </c>
      <c r="G882" s="10" t="str">
        <f>IFERROR(__xludf.DUMMYFUNCTION("""COMPUTED_VALUE"""),"獎狀")</f>
        <v>獎狀</v>
      </c>
      <c r="H882" s="9"/>
    </row>
    <row r="883">
      <c r="A883" s="5" t="s">
        <v>9</v>
      </c>
      <c r="B883" s="9" t="str">
        <f>IFERROR(__xludf.DUMMYFUNCTION("""COMPUTED_VALUE"""),"姚O恩")</f>
        <v>姚O恩</v>
      </c>
      <c r="C883" s="9" t="str">
        <f>IFERROR(__xludf.DUMMYFUNCTION("""COMPUTED_VALUE"""),"shs*****017@stu.ctas.tc.edu.tw")</f>
        <v>shs*****017@stu.ctas.tc.edu.tw</v>
      </c>
      <c r="D883" s="9" t="str">
        <f>IFERROR(__xludf.DUMMYFUNCTION("""COMPUTED_VALUE"""),"臺中市私立僑泰高級中學")</f>
        <v>臺中市私立僑泰高級中學</v>
      </c>
      <c r="E883" s="9" t="str">
        <f>IFERROR(__xludf.DUMMYFUNCTION("""COMPUTED_VALUE"""),"普通科")</f>
        <v>普通科</v>
      </c>
      <c r="F883" s="9" t="str">
        <f>IFERROR(__xludf.DUMMYFUNCTION("""COMPUTED_VALUE"""),"二年級")</f>
        <v>二年級</v>
      </c>
      <c r="G883" s="10" t="str">
        <f>IFERROR(__xludf.DUMMYFUNCTION("""COMPUTED_VALUE"""),"獎狀")</f>
        <v>獎狀</v>
      </c>
      <c r="H883" s="9"/>
    </row>
    <row r="884">
      <c r="A884" s="5" t="s">
        <v>9</v>
      </c>
      <c r="B884" s="9" t="str">
        <f>IFERROR(__xludf.DUMMYFUNCTION("""COMPUTED_VALUE"""),"洪O芸")</f>
        <v>洪O芸</v>
      </c>
      <c r="C884" s="9" t="str">
        <f>IFERROR(__xludf.DUMMYFUNCTION("""COMPUTED_VALUE"""),"shs*****019@stu.ctas.tc.edu.tw")</f>
        <v>shs*****019@stu.ctas.tc.edu.tw</v>
      </c>
      <c r="D884" s="9" t="str">
        <f>IFERROR(__xludf.DUMMYFUNCTION("""COMPUTED_VALUE"""),"臺中市私立僑泰高級中學")</f>
        <v>臺中市私立僑泰高級中學</v>
      </c>
      <c r="E884" s="9" t="str">
        <f>IFERROR(__xludf.DUMMYFUNCTION("""COMPUTED_VALUE"""),"普通科")</f>
        <v>普通科</v>
      </c>
      <c r="F884" s="9" t="str">
        <f>IFERROR(__xludf.DUMMYFUNCTION("""COMPUTED_VALUE"""),"二年級")</f>
        <v>二年級</v>
      </c>
      <c r="G884" s="10" t="str">
        <f>IFERROR(__xludf.DUMMYFUNCTION("""COMPUTED_VALUE"""),"獎狀")</f>
        <v>獎狀</v>
      </c>
      <c r="H884" s="9"/>
    </row>
    <row r="885">
      <c r="A885" s="5" t="s">
        <v>9</v>
      </c>
      <c r="B885" s="9" t="str">
        <f>IFERROR(__xludf.DUMMYFUNCTION("""COMPUTED_VALUE"""),"莊O誼")</f>
        <v>莊O誼</v>
      </c>
      <c r="C885" s="9" t="str">
        <f>IFERROR(__xludf.DUMMYFUNCTION("""COMPUTED_VALUE"""),"shs*****023@stu.ctas.tc.edu.tw")</f>
        <v>shs*****023@stu.ctas.tc.edu.tw</v>
      </c>
      <c r="D885" s="9" t="str">
        <f>IFERROR(__xludf.DUMMYFUNCTION("""COMPUTED_VALUE"""),"臺中市私立僑泰高級中學")</f>
        <v>臺中市私立僑泰高級中學</v>
      </c>
      <c r="E885" s="9" t="str">
        <f>IFERROR(__xludf.DUMMYFUNCTION("""COMPUTED_VALUE"""),"普通科")</f>
        <v>普通科</v>
      </c>
      <c r="F885" s="9" t="str">
        <f>IFERROR(__xludf.DUMMYFUNCTION("""COMPUTED_VALUE"""),"二年級")</f>
        <v>二年級</v>
      </c>
      <c r="G885" s="10" t="str">
        <f>IFERROR(__xludf.DUMMYFUNCTION("""COMPUTED_VALUE"""),"獎狀")</f>
        <v>獎狀</v>
      </c>
      <c r="H885" s="9"/>
    </row>
    <row r="886">
      <c r="A886" s="5" t="s">
        <v>9</v>
      </c>
      <c r="B886" s="9" t="str">
        <f>IFERROR(__xludf.DUMMYFUNCTION("""COMPUTED_VALUE"""),"李O叡")</f>
        <v>李O叡</v>
      </c>
      <c r="C886" s="9" t="str">
        <f>IFERROR(__xludf.DUMMYFUNCTION("""COMPUTED_VALUE"""),"shs*****141@stu.ctas.tc.edu.tw")</f>
        <v>shs*****141@stu.ctas.tc.edu.tw</v>
      </c>
      <c r="D886" s="9" t="str">
        <f>IFERROR(__xludf.DUMMYFUNCTION("""COMPUTED_VALUE"""),"臺中市私立僑泰高級中學")</f>
        <v>臺中市私立僑泰高級中學</v>
      </c>
      <c r="E886" s="9" t="str">
        <f>IFERROR(__xludf.DUMMYFUNCTION("""COMPUTED_VALUE"""),"普通科")</f>
        <v>普通科</v>
      </c>
      <c r="F886" s="9" t="str">
        <f>IFERROR(__xludf.DUMMYFUNCTION("""COMPUTED_VALUE"""),"二年級")</f>
        <v>二年級</v>
      </c>
      <c r="G886" s="10" t="str">
        <f>IFERROR(__xludf.DUMMYFUNCTION("""COMPUTED_VALUE"""),"■商品卡$200")</f>
        <v>■商品卡$200</v>
      </c>
      <c r="H886" s="9"/>
    </row>
    <row r="887">
      <c r="A887" s="5" t="s">
        <v>9</v>
      </c>
      <c r="B887" s="9" t="str">
        <f>IFERROR(__xludf.DUMMYFUNCTION("""COMPUTED_VALUE"""),"林O儒")</f>
        <v>林O儒</v>
      </c>
      <c r="C887" s="9" t="str">
        <f>IFERROR(__xludf.DUMMYFUNCTION("""COMPUTED_VALUE"""),"31s*****s.mingdao.edu.tw")</f>
        <v>31s*****s.mingdao.edu.tw</v>
      </c>
      <c r="D887" s="9" t="str">
        <f>IFERROR(__xludf.DUMMYFUNCTION("""COMPUTED_VALUE"""),"臺中市私立明道高級中學")</f>
        <v>臺中市私立明道高級中學</v>
      </c>
      <c r="E887" s="9" t="str">
        <f>IFERROR(__xludf.DUMMYFUNCTION("""COMPUTED_VALUE"""),"普通科")</f>
        <v>普通科</v>
      </c>
      <c r="F887" s="9" t="str">
        <f>IFERROR(__xludf.DUMMYFUNCTION("""COMPUTED_VALUE"""),"一年級")</f>
        <v>一年級</v>
      </c>
      <c r="G887" s="10" t="str">
        <f>IFERROR(__xludf.DUMMYFUNCTION("""COMPUTED_VALUE"""),"獎狀")</f>
        <v>獎狀</v>
      </c>
      <c r="H887" s="9"/>
    </row>
    <row r="888">
      <c r="A888" s="5" t="s">
        <v>9</v>
      </c>
      <c r="B888" s="9" t="str">
        <f>IFERROR(__xludf.DUMMYFUNCTION("""COMPUTED_VALUE"""),"鐘O浚")</f>
        <v>鐘O浚</v>
      </c>
      <c r="C888" s="9" t="str">
        <f>IFERROR(__xludf.DUMMYFUNCTION("""COMPUTED_VALUE"""),"ht2*****@hzsh.tc.edu.tw")</f>
        <v>ht2*****@hzsh.tc.edu.tw</v>
      </c>
      <c r="D888" s="9" t="str">
        <f>IFERROR(__xludf.DUMMYFUNCTION("""COMPUTED_VALUE"""),"臺中市立后綜高級中學")</f>
        <v>臺中市立后綜高級中學</v>
      </c>
      <c r="E888" s="9" t="str">
        <f>IFERROR(__xludf.DUMMYFUNCTION("""COMPUTED_VALUE"""),"普通科")</f>
        <v>普通科</v>
      </c>
      <c r="F888" s="9" t="str">
        <f>IFERROR(__xludf.DUMMYFUNCTION("""COMPUTED_VALUE"""),"二年級")</f>
        <v>二年級</v>
      </c>
      <c r="G888" s="10" t="str">
        <f>IFERROR(__xludf.DUMMYFUNCTION("""COMPUTED_VALUE"""),"獎狀")</f>
        <v>獎狀</v>
      </c>
      <c r="H888" s="9"/>
    </row>
    <row r="889">
      <c r="A889" s="5" t="s">
        <v>9</v>
      </c>
      <c r="B889" s="9" t="str">
        <f>IFERROR(__xludf.DUMMYFUNCTION("""COMPUTED_VALUE"""),"紀O茹")</f>
        <v>紀O茹</v>
      </c>
      <c r="C889" s="9" t="str">
        <f>IFERROR(__xludf.DUMMYFUNCTION("""COMPUTED_VALUE"""),"ht2*****@hzsh.tc.edu.tw")</f>
        <v>ht2*****@hzsh.tc.edu.tw</v>
      </c>
      <c r="D889" s="9" t="str">
        <f>IFERROR(__xludf.DUMMYFUNCTION("""COMPUTED_VALUE"""),"臺中市立后綜高級中學")</f>
        <v>臺中市立后綜高級中學</v>
      </c>
      <c r="E889" s="9" t="str">
        <f>IFERROR(__xludf.DUMMYFUNCTION("""COMPUTED_VALUE"""),"普通科")</f>
        <v>普通科</v>
      </c>
      <c r="F889" s="9" t="str">
        <f>IFERROR(__xludf.DUMMYFUNCTION("""COMPUTED_VALUE"""),"二年級")</f>
        <v>二年級</v>
      </c>
      <c r="G889" s="10" t="str">
        <f>IFERROR(__xludf.DUMMYFUNCTION("""COMPUTED_VALUE"""),"★商品卡$1000")</f>
        <v>★商品卡$1000</v>
      </c>
      <c r="H889" s="9"/>
    </row>
    <row r="890">
      <c r="A890" s="5" t="s">
        <v>9</v>
      </c>
      <c r="B890" s="9" t="str">
        <f>IFERROR(__xludf.DUMMYFUNCTION("""COMPUTED_VALUE"""),"張O雅")</f>
        <v>張O雅</v>
      </c>
      <c r="C890" s="9" t="str">
        <f>IFERROR(__xludf.DUMMYFUNCTION("""COMPUTED_VALUE"""),"ht2*****@hzsh.tc.edu.tw")</f>
        <v>ht2*****@hzsh.tc.edu.tw</v>
      </c>
      <c r="D890" s="9" t="str">
        <f>IFERROR(__xludf.DUMMYFUNCTION("""COMPUTED_VALUE"""),"臺中市立后綜高級中學")</f>
        <v>臺中市立后綜高級中學</v>
      </c>
      <c r="E890" s="9" t="str">
        <f>IFERROR(__xludf.DUMMYFUNCTION("""COMPUTED_VALUE"""),"普通科")</f>
        <v>普通科</v>
      </c>
      <c r="F890" s="9" t="str">
        <f>IFERROR(__xludf.DUMMYFUNCTION("""COMPUTED_VALUE"""),"二年級")</f>
        <v>二年級</v>
      </c>
      <c r="G890" s="10" t="str">
        <f>IFERROR(__xludf.DUMMYFUNCTION("""COMPUTED_VALUE"""),"獎狀")</f>
        <v>獎狀</v>
      </c>
      <c r="H890" s="9"/>
    </row>
    <row r="891">
      <c r="A891" s="5" t="s">
        <v>9</v>
      </c>
      <c r="B891" s="9" t="str">
        <f>IFERROR(__xludf.DUMMYFUNCTION("""COMPUTED_VALUE"""),"謝O妍")</f>
        <v>謝O妍</v>
      </c>
      <c r="C891" s="9" t="str">
        <f>IFERROR(__xludf.DUMMYFUNCTION("""COMPUTED_VALUE"""),"ht2*****@hzsh.tc.edu.tw")</f>
        <v>ht2*****@hzsh.tc.edu.tw</v>
      </c>
      <c r="D891" s="9" t="str">
        <f>IFERROR(__xludf.DUMMYFUNCTION("""COMPUTED_VALUE"""),"臺中市立后綜高級中學")</f>
        <v>臺中市立后綜高級中學</v>
      </c>
      <c r="E891" s="9" t="str">
        <f>IFERROR(__xludf.DUMMYFUNCTION("""COMPUTED_VALUE"""),"普通科")</f>
        <v>普通科</v>
      </c>
      <c r="F891" s="9" t="str">
        <f>IFERROR(__xludf.DUMMYFUNCTION("""COMPUTED_VALUE"""),"二年級")</f>
        <v>二年級</v>
      </c>
      <c r="G891" s="10" t="str">
        <f>IFERROR(__xludf.DUMMYFUNCTION("""COMPUTED_VALUE"""),"獎狀")</f>
        <v>獎狀</v>
      </c>
      <c r="H891" s="9"/>
    </row>
    <row r="892">
      <c r="A892" s="5" t="s">
        <v>9</v>
      </c>
      <c r="B892" s="9" t="str">
        <f>IFERROR(__xludf.DUMMYFUNCTION("""COMPUTED_VALUE"""),"陳O琪")</f>
        <v>陳O琪</v>
      </c>
      <c r="C892" s="9" t="str">
        <f>IFERROR(__xludf.DUMMYFUNCTION("""COMPUTED_VALUE"""),"ht2*****@hzsh.tc.edu.tw")</f>
        <v>ht2*****@hzsh.tc.edu.tw</v>
      </c>
      <c r="D892" s="9" t="str">
        <f>IFERROR(__xludf.DUMMYFUNCTION("""COMPUTED_VALUE"""),"臺中市立后綜高級中學")</f>
        <v>臺中市立后綜高級中學</v>
      </c>
      <c r="E892" s="9" t="str">
        <f>IFERROR(__xludf.DUMMYFUNCTION("""COMPUTED_VALUE"""),"普通科")</f>
        <v>普通科</v>
      </c>
      <c r="F892" s="9" t="str">
        <f>IFERROR(__xludf.DUMMYFUNCTION("""COMPUTED_VALUE"""),"二年級")</f>
        <v>二年級</v>
      </c>
      <c r="G892" s="10" t="str">
        <f>IFERROR(__xludf.DUMMYFUNCTION("""COMPUTED_VALUE"""),"獎狀")</f>
        <v>獎狀</v>
      </c>
      <c r="H892" s="9"/>
    </row>
    <row r="893">
      <c r="A893" s="5" t="s">
        <v>9</v>
      </c>
      <c r="B893" s="9" t="str">
        <f>IFERROR(__xludf.DUMMYFUNCTION("""COMPUTED_VALUE"""),"胡O倫")</f>
        <v>胡O倫</v>
      </c>
      <c r="C893" s="9" t="str">
        <f>IFERROR(__xludf.DUMMYFUNCTION("""COMPUTED_VALUE"""),"ht2*****@hzsh.tc.edu.tw")</f>
        <v>ht2*****@hzsh.tc.edu.tw</v>
      </c>
      <c r="D893" s="9" t="str">
        <f>IFERROR(__xludf.DUMMYFUNCTION("""COMPUTED_VALUE"""),"臺中市立后綜高級中學")</f>
        <v>臺中市立后綜高級中學</v>
      </c>
      <c r="E893" s="9" t="str">
        <f>IFERROR(__xludf.DUMMYFUNCTION("""COMPUTED_VALUE"""),"普通科")</f>
        <v>普通科</v>
      </c>
      <c r="F893" s="9" t="str">
        <f>IFERROR(__xludf.DUMMYFUNCTION("""COMPUTED_VALUE"""),"二年級")</f>
        <v>二年級</v>
      </c>
      <c r="G893" s="10" t="str">
        <f>IFERROR(__xludf.DUMMYFUNCTION("""COMPUTED_VALUE"""),"獎狀")</f>
        <v>獎狀</v>
      </c>
      <c r="H893" s="9"/>
    </row>
    <row r="894">
      <c r="A894" s="5" t="s">
        <v>9</v>
      </c>
      <c r="B894" s="9" t="str">
        <f>IFERROR(__xludf.DUMMYFUNCTION("""COMPUTED_VALUE"""),"蕭O程")</f>
        <v>蕭O程</v>
      </c>
      <c r="C894" s="9" t="str">
        <f>IFERROR(__xludf.DUMMYFUNCTION("""COMPUTED_VALUE"""),"ht2*****@hzsh.tc.edu.tw")</f>
        <v>ht2*****@hzsh.tc.edu.tw</v>
      </c>
      <c r="D894" s="9" t="str">
        <f>IFERROR(__xludf.DUMMYFUNCTION("""COMPUTED_VALUE"""),"臺中市立后綜高級中學")</f>
        <v>臺中市立后綜高級中學</v>
      </c>
      <c r="E894" s="9" t="str">
        <f>IFERROR(__xludf.DUMMYFUNCTION("""COMPUTED_VALUE"""),"普通科")</f>
        <v>普通科</v>
      </c>
      <c r="F894" s="9" t="str">
        <f>IFERROR(__xludf.DUMMYFUNCTION("""COMPUTED_VALUE"""),"二年級")</f>
        <v>二年級</v>
      </c>
      <c r="G894" s="10" t="str">
        <f>IFERROR(__xludf.DUMMYFUNCTION("""COMPUTED_VALUE"""),"獎狀")</f>
        <v>獎狀</v>
      </c>
      <c r="H894" s="9"/>
    </row>
    <row r="895">
      <c r="A895" s="5" t="s">
        <v>9</v>
      </c>
      <c r="B895" s="9" t="str">
        <f>IFERROR(__xludf.DUMMYFUNCTION("""COMPUTED_VALUE"""),"傅O傑")</f>
        <v>傅O傑</v>
      </c>
      <c r="C895" s="9" t="str">
        <f>IFERROR(__xludf.DUMMYFUNCTION("""COMPUTED_VALUE"""),"ht2*****@hzsh.tc.edu.tw")</f>
        <v>ht2*****@hzsh.tc.edu.tw</v>
      </c>
      <c r="D895" s="9" t="str">
        <f>IFERROR(__xludf.DUMMYFUNCTION("""COMPUTED_VALUE"""),"臺中市立后綜高級中學")</f>
        <v>臺中市立后綜高級中學</v>
      </c>
      <c r="E895" s="9" t="str">
        <f>IFERROR(__xludf.DUMMYFUNCTION("""COMPUTED_VALUE"""),"普通科")</f>
        <v>普通科</v>
      </c>
      <c r="F895" s="9" t="str">
        <f>IFERROR(__xludf.DUMMYFUNCTION("""COMPUTED_VALUE"""),"二年級")</f>
        <v>二年級</v>
      </c>
      <c r="G895" s="10" t="str">
        <f>IFERROR(__xludf.DUMMYFUNCTION("""COMPUTED_VALUE"""),"獎狀")</f>
        <v>獎狀</v>
      </c>
      <c r="H895" s="9"/>
    </row>
    <row r="896">
      <c r="A896" s="5" t="s">
        <v>9</v>
      </c>
      <c r="B896" s="9" t="str">
        <f>IFERROR(__xludf.DUMMYFUNCTION("""COMPUTED_VALUE"""),"梁O涵")</f>
        <v>梁O涵</v>
      </c>
      <c r="C896" s="9" t="str">
        <f>IFERROR(__xludf.DUMMYFUNCTION("""COMPUTED_VALUE"""),"ht2*****@hzsh.tc.edu.tw")</f>
        <v>ht2*****@hzsh.tc.edu.tw</v>
      </c>
      <c r="D896" s="9" t="str">
        <f>IFERROR(__xludf.DUMMYFUNCTION("""COMPUTED_VALUE"""),"臺中市立后綜高級中學")</f>
        <v>臺中市立后綜高級中學</v>
      </c>
      <c r="E896" s="9" t="str">
        <f>IFERROR(__xludf.DUMMYFUNCTION("""COMPUTED_VALUE"""),"普通科")</f>
        <v>普通科</v>
      </c>
      <c r="F896" s="9" t="str">
        <f>IFERROR(__xludf.DUMMYFUNCTION("""COMPUTED_VALUE"""),"二年級")</f>
        <v>二年級</v>
      </c>
      <c r="G896" s="10" t="str">
        <f>IFERROR(__xludf.DUMMYFUNCTION("""COMPUTED_VALUE"""),"獎狀")</f>
        <v>獎狀</v>
      </c>
      <c r="H896" s="9"/>
    </row>
    <row r="897">
      <c r="A897" s="5" t="s">
        <v>9</v>
      </c>
      <c r="B897" s="9" t="str">
        <f>IFERROR(__xludf.DUMMYFUNCTION("""COMPUTED_VALUE"""),"陳O勛")</f>
        <v>陳O勛</v>
      </c>
      <c r="C897" s="9" t="str">
        <f>IFERROR(__xludf.DUMMYFUNCTION("""COMPUTED_VALUE"""),"314*****t.tc.edu.tw")</f>
        <v>314*****t.tc.edu.tw</v>
      </c>
      <c r="D897" s="9" t="str">
        <f>IFERROR(__xludf.DUMMYFUNCTION("""COMPUTED_VALUE"""),"臺中市立后綜高級中學")</f>
        <v>臺中市立后綜高級中學</v>
      </c>
      <c r="E897" s="9" t="str">
        <f>IFERROR(__xludf.DUMMYFUNCTION("""COMPUTED_VALUE"""),"普通科")</f>
        <v>普通科</v>
      </c>
      <c r="F897" s="9" t="str">
        <f>IFERROR(__xludf.DUMMYFUNCTION("""COMPUTED_VALUE"""),"二年級")</f>
        <v>二年級</v>
      </c>
      <c r="G897" s="10" t="str">
        <f>IFERROR(__xludf.DUMMYFUNCTION("""COMPUTED_VALUE"""),"○商品卡$500")</f>
        <v>○商品卡$500</v>
      </c>
      <c r="H897" s="9"/>
    </row>
    <row r="898">
      <c r="A898" s="5" t="s">
        <v>9</v>
      </c>
      <c r="B898" s="9" t="str">
        <f>IFERROR(__xludf.DUMMYFUNCTION("""COMPUTED_VALUE"""),"樊O婷")</f>
        <v>樊O婷</v>
      </c>
      <c r="C898" s="9" t="str">
        <f>IFERROR(__xludf.DUMMYFUNCTION("""COMPUTED_VALUE"""),"ht2*****@hzsh.tc.edu.tw")</f>
        <v>ht2*****@hzsh.tc.edu.tw</v>
      </c>
      <c r="D898" s="9" t="str">
        <f>IFERROR(__xludf.DUMMYFUNCTION("""COMPUTED_VALUE"""),"臺中市立后綜高級中學")</f>
        <v>臺中市立后綜高級中學</v>
      </c>
      <c r="E898" s="9" t="str">
        <f>IFERROR(__xludf.DUMMYFUNCTION("""COMPUTED_VALUE"""),"普通科")</f>
        <v>普通科</v>
      </c>
      <c r="F898" s="9" t="str">
        <f>IFERROR(__xludf.DUMMYFUNCTION("""COMPUTED_VALUE"""),"二年級")</f>
        <v>二年級</v>
      </c>
      <c r="G898" s="10" t="str">
        <f>IFERROR(__xludf.DUMMYFUNCTION("""COMPUTED_VALUE"""),"獎狀")</f>
        <v>獎狀</v>
      </c>
      <c r="H898" s="9"/>
    </row>
    <row r="899">
      <c r="A899" s="5" t="s">
        <v>9</v>
      </c>
      <c r="B899" s="9" t="str">
        <f>IFERROR(__xludf.DUMMYFUNCTION("""COMPUTED_VALUE"""),"蕭O程")</f>
        <v>蕭O程</v>
      </c>
      <c r="C899" s="9" t="str">
        <f>IFERROR(__xludf.DUMMYFUNCTION("""COMPUTED_VALUE"""),"ht2*****@hzsh.tc.edu.tw")</f>
        <v>ht2*****@hzsh.tc.edu.tw</v>
      </c>
      <c r="D899" s="9" t="str">
        <f>IFERROR(__xludf.DUMMYFUNCTION("""COMPUTED_VALUE"""),"臺中市立后綜高級中學")</f>
        <v>臺中市立后綜高級中學</v>
      </c>
      <c r="E899" s="9" t="str">
        <f>IFERROR(__xludf.DUMMYFUNCTION("""COMPUTED_VALUE"""),"普通科")</f>
        <v>普通科</v>
      </c>
      <c r="F899" s="9" t="str">
        <f>IFERROR(__xludf.DUMMYFUNCTION("""COMPUTED_VALUE"""),"三年級")</f>
        <v>三年級</v>
      </c>
      <c r="G899" s="10" t="str">
        <f>IFERROR(__xludf.DUMMYFUNCTION("""COMPUTED_VALUE"""),"獎狀")</f>
        <v>獎狀</v>
      </c>
      <c r="H899" s="9"/>
    </row>
    <row r="900">
      <c r="A900" s="5" t="s">
        <v>9</v>
      </c>
      <c r="B900" s="9" t="str">
        <f>IFERROR(__xludf.DUMMYFUNCTION("""COMPUTED_VALUE"""),"蘇O娟")</f>
        <v>蘇O娟</v>
      </c>
      <c r="C900" s="9" t="str">
        <f>IFERROR(__xludf.DUMMYFUNCTION("""COMPUTED_VALUE"""),"ht2*****@hzsh.tc.edu.tw")</f>
        <v>ht2*****@hzsh.tc.edu.tw</v>
      </c>
      <c r="D900" s="9" t="str">
        <f>IFERROR(__xludf.DUMMYFUNCTION("""COMPUTED_VALUE"""),"臺中市立后綜高級中學")</f>
        <v>臺中市立后綜高級中學</v>
      </c>
      <c r="E900" s="9" t="str">
        <f>IFERROR(__xludf.DUMMYFUNCTION("""COMPUTED_VALUE"""),"普通科")</f>
        <v>普通科</v>
      </c>
      <c r="F900" s="9" t="str">
        <f>IFERROR(__xludf.DUMMYFUNCTION("""COMPUTED_VALUE"""),"三年級")</f>
        <v>三年級</v>
      </c>
      <c r="G900" s="10" t="str">
        <f>IFERROR(__xludf.DUMMYFUNCTION("""COMPUTED_VALUE"""),"獎狀")</f>
        <v>獎狀</v>
      </c>
      <c r="H900" s="9"/>
    </row>
    <row r="901">
      <c r="A901" s="5" t="s">
        <v>9</v>
      </c>
      <c r="B901" s="9" t="str">
        <f>IFERROR(__xludf.DUMMYFUNCTION("""COMPUTED_VALUE"""),"廖O綺")</f>
        <v>廖O綺</v>
      </c>
      <c r="C901" s="9" t="str">
        <f>IFERROR(__xludf.DUMMYFUNCTION("""COMPUTED_VALUE"""),"ht2*****@hzsh.tc.edu.tw")</f>
        <v>ht2*****@hzsh.tc.edu.tw</v>
      </c>
      <c r="D901" s="9" t="str">
        <f>IFERROR(__xludf.DUMMYFUNCTION("""COMPUTED_VALUE"""),"臺中市立后綜高級中學")</f>
        <v>臺中市立后綜高級中學</v>
      </c>
      <c r="E901" s="9" t="str">
        <f>IFERROR(__xludf.DUMMYFUNCTION("""COMPUTED_VALUE"""),"普通科")</f>
        <v>普通科</v>
      </c>
      <c r="F901" s="9" t="str">
        <f>IFERROR(__xludf.DUMMYFUNCTION("""COMPUTED_VALUE"""),"三年級")</f>
        <v>三年級</v>
      </c>
      <c r="G901" s="10" t="str">
        <f>IFERROR(__xludf.DUMMYFUNCTION("""COMPUTED_VALUE"""),"獎狀")</f>
        <v>獎狀</v>
      </c>
      <c r="H901" s="11"/>
    </row>
    <row r="902">
      <c r="A902" s="5" t="s">
        <v>9</v>
      </c>
      <c r="B902" s="9" t="str">
        <f>IFERROR(__xludf.DUMMYFUNCTION("""COMPUTED_VALUE"""),"彭O霈")</f>
        <v>彭O霈</v>
      </c>
      <c r="C902" s="9" t="str">
        <f>IFERROR(__xludf.DUMMYFUNCTION("""COMPUTED_VALUE"""),"s31*****std.hwhs.tc.edu.tw")</f>
        <v>s31*****std.hwhs.tc.edu.tw</v>
      </c>
      <c r="D902" s="9" t="str">
        <f>IFERROR(__xludf.DUMMYFUNCTION("""COMPUTED_VALUE"""),"臺中市私立弘文高級中學")</f>
        <v>臺中市私立弘文高級中學</v>
      </c>
      <c r="E902" s="9" t="str">
        <f>IFERROR(__xludf.DUMMYFUNCTION("""COMPUTED_VALUE"""),"普通科")</f>
        <v>普通科</v>
      </c>
      <c r="F902" s="9" t="str">
        <f>IFERROR(__xludf.DUMMYFUNCTION("""COMPUTED_VALUE"""),"二年級")</f>
        <v>二年級</v>
      </c>
      <c r="G902" s="10" t="str">
        <f>IFERROR(__xludf.DUMMYFUNCTION("""COMPUTED_VALUE"""),"獎狀")</f>
        <v>獎狀</v>
      </c>
      <c r="H902" s="11"/>
    </row>
    <row r="903">
      <c r="A903" s="5" t="s">
        <v>9</v>
      </c>
      <c r="B903" s="9" t="str">
        <f>IFERROR(__xludf.DUMMYFUNCTION("""COMPUTED_VALUE"""),"胡O妤")</f>
        <v>胡O妤</v>
      </c>
      <c r="C903" s="9" t="str">
        <f>IFERROR(__xludf.DUMMYFUNCTION("""COMPUTED_VALUE"""),"s31*****std.hwhs.tc.edu.tw")</f>
        <v>s31*****std.hwhs.tc.edu.tw</v>
      </c>
      <c r="D903" s="9" t="str">
        <f>IFERROR(__xludf.DUMMYFUNCTION("""COMPUTED_VALUE"""),"臺中市私立弘文高級中學")</f>
        <v>臺中市私立弘文高級中學</v>
      </c>
      <c r="E903" s="9" t="str">
        <f>IFERROR(__xludf.DUMMYFUNCTION("""COMPUTED_VALUE"""),"普通科")</f>
        <v>普通科</v>
      </c>
      <c r="F903" s="9" t="str">
        <f>IFERROR(__xludf.DUMMYFUNCTION("""COMPUTED_VALUE"""),"二年級")</f>
        <v>二年級</v>
      </c>
      <c r="G903" s="10" t="str">
        <f>IFERROR(__xludf.DUMMYFUNCTION("""COMPUTED_VALUE"""),"獎狀")</f>
        <v>獎狀</v>
      </c>
      <c r="H903" s="11"/>
    </row>
    <row r="904">
      <c r="A904" s="5" t="s">
        <v>9</v>
      </c>
      <c r="B904" s="9" t="str">
        <f>IFERROR(__xludf.DUMMYFUNCTION("""COMPUTED_VALUE"""),"林O湞")</f>
        <v>林O湞</v>
      </c>
      <c r="C904" s="9" t="str">
        <f>IFERROR(__xludf.DUMMYFUNCTION("""COMPUTED_VALUE"""),"s31*****std.hwhs.tc.edu.tw")</f>
        <v>s31*****std.hwhs.tc.edu.tw</v>
      </c>
      <c r="D904" s="9" t="str">
        <f>IFERROR(__xludf.DUMMYFUNCTION("""COMPUTED_VALUE"""),"臺中市私立弘文高級中學")</f>
        <v>臺中市私立弘文高級中學</v>
      </c>
      <c r="E904" s="9" t="str">
        <f>IFERROR(__xludf.DUMMYFUNCTION("""COMPUTED_VALUE"""),"普通科")</f>
        <v>普通科</v>
      </c>
      <c r="F904" s="9" t="str">
        <f>IFERROR(__xludf.DUMMYFUNCTION("""COMPUTED_VALUE"""),"二年級")</f>
        <v>二年級</v>
      </c>
      <c r="G904" s="10" t="str">
        <f>IFERROR(__xludf.DUMMYFUNCTION("""COMPUTED_VALUE"""),"獎狀")</f>
        <v>獎狀</v>
      </c>
      <c r="H904" s="11"/>
    </row>
    <row r="905">
      <c r="A905" s="5" t="s">
        <v>9</v>
      </c>
      <c r="B905" s="9" t="str">
        <f>IFERROR(__xludf.DUMMYFUNCTION("""COMPUTED_VALUE"""),"羅O渝")</f>
        <v>羅O渝</v>
      </c>
      <c r="C905" s="9" t="str">
        <f>IFERROR(__xludf.DUMMYFUNCTION("""COMPUTED_VALUE"""),"s31*****std.hwhs.tc.edu.tw")</f>
        <v>s31*****std.hwhs.tc.edu.tw</v>
      </c>
      <c r="D905" s="9" t="str">
        <f>IFERROR(__xludf.DUMMYFUNCTION("""COMPUTED_VALUE"""),"臺中市私立弘文高級中學")</f>
        <v>臺中市私立弘文高級中學</v>
      </c>
      <c r="E905" s="9" t="str">
        <f>IFERROR(__xludf.DUMMYFUNCTION("""COMPUTED_VALUE"""),"普通科")</f>
        <v>普通科</v>
      </c>
      <c r="F905" s="9" t="str">
        <f>IFERROR(__xludf.DUMMYFUNCTION("""COMPUTED_VALUE"""),"二年級")</f>
        <v>二年級</v>
      </c>
      <c r="G905" s="10" t="str">
        <f>IFERROR(__xludf.DUMMYFUNCTION("""COMPUTED_VALUE"""),"獎狀")</f>
        <v>獎狀</v>
      </c>
      <c r="H905" s="11"/>
    </row>
    <row r="906">
      <c r="A906" s="5" t="s">
        <v>9</v>
      </c>
      <c r="B906" s="9" t="str">
        <f>IFERROR(__xludf.DUMMYFUNCTION("""COMPUTED_VALUE"""),"盧O蓁")</f>
        <v>盧O蓁</v>
      </c>
      <c r="C906" s="9" t="str">
        <f>IFERROR(__xludf.DUMMYFUNCTION("""COMPUTED_VALUE"""),"s31*****std.hwhs.tc.edu.tw")</f>
        <v>s31*****std.hwhs.tc.edu.tw</v>
      </c>
      <c r="D906" s="9" t="str">
        <f>IFERROR(__xludf.DUMMYFUNCTION("""COMPUTED_VALUE"""),"臺中市私立弘文高級中學")</f>
        <v>臺中市私立弘文高級中學</v>
      </c>
      <c r="E906" s="9" t="str">
        <f>IFERROR(__xludf.DUMMYFUNCTION("""COMPUTED_VALUE"""),"普通科")</f>
        <v>普通科</v>
      </c>
      <c r="F906" s="9" t="str">
        <f>IFERROR(__xludf.DUMMYFUNCTION("""COMPUTED_VALUE"""),"二年級")</f>
        <v>二年級</v>
      </c>
      <c r="G906" s="10" t="str">
        <f>IFERROR(__xludf.DUMMYFUNCTION("""COMPUTED_VALUE"""),"獎狀")</f>
        <v>獎狀</v>
      </c>
      <c r="H906" s="11"/>
    </row>
    <row r="907">
      <c r="A907" s="5" t="s">
        <v>9</v>
      </c>
      <c r="B907" s="9" t="str">
        <f>IFERROR(__xludf.DUMMYFUNCTION("""COMPUTED_VALUE"""),"賴O毅")</f>
        <v>賴O毅</v>
      </c>
      <c r="C907" s="9" t="str">
        <f>IFERROR(__xludf.DUMMYFUNCTION("""COMPUTED_VALUE"""),"s31*****std.hwhs.tc.edu.tw")</f>
        <v>s31*****std.hwhs.tc.edu.tw</v>
      </c>
      <c r="D907" s="9" t="str">
        <f>IFERROR(__xludf.DUMMYFUNCTION("""COMPUTED_VALUE"""),"臺中市私立弘文高級中學")</f>
        <v>臺中市私立弘文高級中學</v>
      </c>
      <c r="E907" s="9" t="str">
        <f>IFERROR(__xludf.DUMMYFUNCTION("""COMPUTED_VALUE"""),"普通科")</f>
        <v>普通科</v>
      </c>
      <c r="F907" s="9" t="str">
        <f>IFERROR(__xludf.DUMMYFUNCTION("""COMPUTED_VALUE"""),"二年級")</f>
        <v>二年級</v>
      </c>
      <c r="G907" s="10" t="str">
        <f>IFERROR(__xludf.DUMMYFUNCTION("""COMPUTED_VALUE"""),"獎狀")</f>
        <v>獎狀</v>
      </c>
      <c r="H907" s="11"/>
    </row>
    <row r="908">
      <c r="A908" s="5" t="s">
        <v>9</v>
      </c>
      <c r="B908" s="9" t="str">
        <f>IFERROR(__xludf.DUMMYFUNCTION("""COMPUTED_VALUE"""),"王O婕")</f>
        <v>王O婕</v>
      </c>
      <c r="C908" s="9" t="str">
        <f>IFERROR(__xludf.DUMMYFUNCTION("""COMPUTED_VALUE"""),"s31*****std.hwhs.tc.edu.tw")</f>
        <v>s31*****std.hwhs.tc.edu.tw</v>
      </c>
      <c r="D908" s="9" t="str">
        <f>IFERROR(__xludf.DUMMYFUNCTION("""COMPUTED_VALUE"""),"臺中市私立弘文高級中學")</f>
        <v>臺中市私立弘文高級中學</v>
      </c>
      <c r="E908" s="9" t="str">
        <f>IFERROR(__xludf.DUMMYFUNCTION("""COMPUTED_VALUE"""),"普通科")</f>
        <v>普通科</v>
      </c>
      <c r="F908" s="9" t="str">
        <f>IFERROR(__xludf.DUMMYFUNCTION("""COMPUTED_VALUE"""),"二年級")</f>
        <v>二年級</v>
      </c>
      <c r="G908" s="10" t="str">
        <f>IFERROR(__xludf.DUMMYFUNCTION("""COMPUTED_VALUE"""),"獎狀")</f>
        <v>獎狀</v>
      </c>
      <c r="H908" s="11"/>
    </row>
    <row r="909">
      <c r="A909" s="5" t="s">
        <v>9</v>
      </c>
      <c r="B909" s="9" t="str">
        <f>IFERROR(__xludf.DUMMYFUNCTION("""COMPUTED_VALUE"""),"余O研")</f>
        <v>余O研</v>
      </c>
      <c r="C909" s="9" t="str">
        <f>IFERROR(__xludf.DUMMYFUNCTION("""COMPUTED_VALUE"""),"s31*****std.hwhs.tc.edu.tw")</f>
        <v>s31*****std.hwhs.tc.edu.tw</v>
      </c>
      <c r="D909" s="9" t="str">
        <f>IFERROR(__xludf.DUMMYFUNCTION("""COMPUTED_VALUE"""),"臺中市私立弘文高級中學")</f>
        <v>臺中市私立弘文高級中學</v>
      </c>
      <c r="E909" s="9" t="str">
        <f>IFERROR(__xludf.DUMMYFUNCTION("""COMPUTED_VALUE"""),"普通科")</f>
        <v>普通科</v>
      </c>
      <c r="F909" s="9" t="str">
        <f>IFERROR(__xludf.DUMMYFUNCTION("""COMPUTED_VALUE"""),"二年級")</f>
        <v>二年級</v>
      </c>
      <c r="G909" s="10" t="str">
        <f>IFERROR(__xludf.DUMMYFUNCTION("""COMPUTED_VALUE"""),"獎狀")</f>
        <v>獎狀</v>
      </c>
      <c r="H909" s="11"/>
    </row>
    <row r="910">
      <c r="A910" s="5" t="s">
        <v>9</v>
      </c>
      <c r="B910" s="9" t="str">
        <f>IFERROR(__xludf.DUMMYFUNCTION("""COMPUTED_VALUE"""),"陳O芸")</f>
        <v>陳O芸</v>
      </c>
      <c r="C910" s="9" t="str">
        <f>IFERROR(__xludf.DUMMYFUNCTION("""COMPUTED_VALUE"""),"210*****pps.ljjhs.tc.edu.tw")</f>
        <v>210*****pps.ljjhs.tc.edu.tw</v>
      </c>
      <c r="D910" s="9" t="str">
        <f>IFERROR(__xludf.DUMMYFUNCTION("""COMPUTED_VALUE"""),"臺中市立龍津高級中等學校")</f>
        <v>臺中市立龍津高級中等學校</v>
      </c>
      <c r="E910" s="9" t="str">
        <f>IFERROR(__xludf.DUMMYFUNCTION("""COMPUTED_VALUE"""),"普通班")</f>
        <v>普通班</v>
      </c>
      <c r="F910" s="9" t="str">
        <f>IFERROR(__xludf.DUMMYFUNCTION("""COMPUTED_VALUE"""),"三年級")</f>
        <v>三年級</v>
      </c>
      <c r="G910" s="10" t="str">
        <f>IFERROR(__xludf.DUMMYFUNCTION("""COMPUTED_VALUE"""),"獎狀")</f>
        <v>獎狀</v>
      </c>
      <c r="H910" s="9"/>
    </row>
    <row r="911">
      <c r="A911" s="5" t="s">
        <v>9</v>
      </c>
      <c r="B911" s="9" t="str">
        <f>IFERROR(__xludf.DUMMYFUNCTION("""COMPUTED_VALUE"""),"紀O霖")</f>
        <v>紀O霖</v>
      </c>
      <c r="C911" s="9" t="str">
        <f>IFERROR(__xludf.DUMMYFUNCTION("""COMPUTED_VALUE"""),"s31*****ms.cshs.tc.edu.tw")</f>
        <v>s31*****ms.cshs.tc.edu.tw</v>
      </c>
      <c r="D911" s="9" t="str">
        <f>IFERROR(__xludf.DUMMYFUNCTION("""COMPUTED_VALUE"""),"臺中市立清水高級中等學校")</f>
        <v>臺中市立清水高級中等學校</v>
      </c>
      <c r="E911" s="9" t="str">
        <f>IFERROR(__xludf.DUMMYFUNCTION("""COMPUTED_VALUE"""),"普通科")</f>
        <v>普通科</v>
      </c>
      <c r="F911" s="9" t="str">
        <f>IFERROR(__xludf.DUMMYFUNCTION("""COMPUTED_VALUE"""),"二年級")</f>
        <v>二年級</v>
      </c>
      <c r="G911" s="10" t="str">
        <f>IFERROR(__xludf.DUMMYFUNCTION("""COMPUTED_VALUE"""),"獎狀")</f>
        <v>獎狀</v>
      </c>
      <c r="H911" s="9"/>
    </row>
    <row r="912">
      <c r="A912" s="5" t="s">
        <v>9</v>
      </c>
      <c r="B912" s="9" t="str">
        <f>IFERROR(__xludf.DUMMYFUNCTION("""COMPUTED_VALUE"""),"陳O榛")</f>
        <v>陳O榛</v>
      </c>
      <c r="C912" s="9" t="str">
        <f>IFERROR(__xludf.DUMMYFUNCTION("""COMPUTED_VALUE"""),"b09*****209@gmail.com")</f>
        <v>b09*****209@gmail.com</v>
      </c>
      <c r="D912" s="9" t="str">
        <f>IFERROR(__xludf.DUMMYFUNCTION("""COMPUTED_VALUE"""),"臺中市立大甲高級中等學校")</f>
        <v>臺中市立大甲高級中等學校</v>
      </c>
      <c r="E912" s="9" t="str">
        <f>IFERROR(__xludf.DUMMYFUNCTION("""COMPUTED_VALUE"""),"普通科")</f>
        <v>普通科</v>
      </c>
      <c r="F912" s="9" t="str">
        <f>IFERROR(__xludf.DUMMYFUNCTION("""COMPUTED_VALUE"""),"二年級")</f>
        <v>二年級</v>
      </c>
      <c r="G912" s="10" t="str">
        <f>IFERROR(__xludf.DUMMYFUNCTION("""COMPUTED_VALUE"""),"獎狀")</f>
        <v>獎狀</v>
      </c>
      <c r="H912" s="9"/>
    </row>
    <row r="913">
      <c r="A913" s="5" t="s">
        <v>9</v>
      </c>
      <c r="B913" s="9" t="str">
        <f>IFERROR(__xludf.DUMMYFUNCTION("""COMPUTED_VALUE"""),"洪O閔")</f>
        <v>洪O閔</v>
      </c>
      <c r="C913" s="9" t="str">
        <f>IFERROR(__xludf.DUMMYFUNCTION("""COMPUTED_VALUE"""),"mov*****@mail.edu.tw")</f>
        <v>mov*****@mail.edu.tw</v>
      </c>
      <c r="D913" s="9" t="str">
        <f>IFERROR(__xludf.DUMMYFUNCTION("""COMPUTED_VALUE"""),"臺中市立大甲高級中等學校")</f>
        <v>臺中市立大甲高級中等學校</v>
      </c>
      <c r="E913" s="9" t="str">
        <f>IFERROR(__xludf.DUMMYFUNCTION("""COMPUTED_VALUE"""),"普通科")</f>
        <v>普通科</v>
      </c>
      <c r="F913" s="9" t="str">
        <f>IFERROR(__xludf.DUMMYFUNCTION("""COMPUTED_VALUE"""),"二年級")</f>
        <v>二年級</v>
      </c>
      <c r="G913" s="10" t="str">
        <f>IFERROR(__xludf.DUMMYFUNCTION("""COMPUTED_VALUE"""),"獎狀")</f>
        <v>獎狀</v>
      </c>
      <c r="H913" s="9"/>
    </row>
    <row r="914">
      <c r="A914" s="5" t="s">
        <v>9</v>
      </c>
      <c r="B914" s="9" t="str">
        <f>IFERROR(__xludf.DUMMYFUNCTION("""COMPUTED_VALUE"""),"蘇O慈")</f>
        <v>蘇O慈</v>
      </c>
      <c r="C914" s="9" t="str">
        <f>IFERROR(__xludf.DUMMYFUNCTION("""COMPUTED_VALUE"""),"yue*****gmail.com")</f>
        <v>yue*****gmail.com</v>
      </c>
      <c r="D914" s="9" t="str">
        <f>IFERROR(__xludf.DUMMYFUNCTION("""COMPUTED_VALUE"""),"臺中市立大甲高級中等學校")</f>
        <v>臺中市立大甲高級中等學校</v>
      </c>
      <c r="E914" s="9" t="str">
        <f>IFERROR(__xludf.DUMMYFUNCTION("""COMPUTED_VALUE"""),"普通科")</f>
        <v>普通科</v>
      </c>
      <c r="F914" s="9" t="str">
        <f>IFERROR(__xludf.DUMMYFUNCTION("""COMPUTED_VALUE"""),"二年級")</f>
        <v>二年級</v>
      </c>
      <c r="G914" s="10" t="str">
        <f>IFERROR(__xludf.DUMMYFUNCTION("""COMPUTED_VALUE"""),"獎狀")</f>
        <v>獎狀</v>
      </c>
      <c r="H914" s="9"/>
    </row>
    <row r="915">
      <c r="A915" s="5" t="s">
        <v>9</v>
      </c>
      <c r="B915" s="9" t="str">
        <f>IFERROR(__xludf.DUMMYFUNCTION("""COMPUTED_VALUE"""),"王O涵")</f>
        <v>王O涵</v>
      </c>
      <c r="C915" s="9" t="str">
        <f>IFERROR(__xludf.DUMMYFUNCTION("""COMPUTED_VALUE"""),"a09*****157@gmail.com")</f>
        <v>a09*****157@gmail.com</v>
      </c>
      <c r="D915" s="9" t="str">
        <f>IFERROR(__xludf.DUMMYFUNCTION("""COMPUTED_VALUE"""),"臺中市立大甲高級中等學校")</f>
        <v>臺中市立大甲高級中等學校</v>
      </c>
      <c r="E915" s="9" t="str">
        <f>IFERROR(__xludf.DUMMYFUNCTION("""COMPUTED_VALUE"""),"普通科")</f>
        <v>普通科</v>
      </c>
      <c r="F915" s="9" t="str">
        <f>IFERROR(__xludf.DUMMYFUNCTION("""COMPUTED_VALUE"""),"二年級")</f>
        <v>二年級</v>
      </c>
      <c r="G915" s="10" t="str">
        <f>IFERROR(__xludf.DUMMYFUNCTION("""COMPUTED_VALUE"""),"獎狀")</f>
        <v>獎狀</v>
      </c>
      <c r="H915" s="9"/>
    </row>
    <row r="916">
      <c r="A916" s="5" t="s">
        <v>9</v>
      </c>
      <c r="B916" s="9" t="str">
        <f>IFERROR(__xludf.DUMMYFUNCTION("""COMPUTED_VALUE"""),"林O諺")</f>
        <v>林O諺</v>
      </c>
      <c r="C916" s="9" t="str">
        <f>IFERROR(__xludf.DUMMYFUNCTION("""COMPUTED_VALUE"""),"tc.*****2856@mail.edu.tw")</f>
        <v>tc.*****2856@mail.edu.tw</v>
      </c>
      <c r="D916" s="9" t="str">
        <f>IFERROR(__xludf.DUMMYFUNCTION("""COMPUTED_VALUE"""),"臺中市立大甲高級中等學校")</f>
        <v>臺中市立大甲高級中等學校</v>
      </c>
      <c r="E916" s="9" t="str">
        <f>IFERROR(__xludf.DUMMYFUNCTION("""COMPUTED_VALUE"""),"普通科")</f>
        <v>普通科</v>
      </c>
      <c r="F916" s="9" t="str">
        <f>IFERROR(__xludf.DUMMYFUNCTION("""COMPUTED_VALUE"""),"二年級")</f>
        <v>二年級</v>
      </c>
      <c r="G916" s="10" t="str">
        <f>IFERROR(__xludf.DUMMYFUNCTION("""COMPUTED_VALUE"""),"獎狀")</f>
        <v>獎狀</v>
      </c>
      <c r="H916" s="9"/>
    </row>
    <row r="917">
      <c r="A917" s="5" t="s">
        <v>9</v>
      </c>
      <c r="B917" s="9" t="str">
        <f>IFERROR(__xludf.DUMMYFUNCTION("""COMPUTED_VALUE"""),"柳O盈")</f>
        <v>柳O盈</v>
      </c>
      <c r="C917" s="9" t="str">
        <f>IFERROR(__xludf.DUMMYFUNCTION("""COMPUTED_VALUE"""),"a09*****507@gmail.com")</f>
        <v>a09*****507@gmail.com</v>
      </c>
      <c r="D917" s="9" t="str">
        <f>IFERROR(__xludf.DUMMYFUNCTION("""COMPUTED_VALUE"""),"臺中市立大甲高級中等學校")</f>
        <v>臺中市立大甲高級中等學校</v>
      </c>
      <c r="E917" s="9" t="str">
        <f>IFERROR(__xludf.DUMMYFUNCTION("""COMPUTED_VALUE"""),"普通科")</f>
        <v>普通科</v>
      </c>
      <c r="F917" s="9" t="str">
        <f>IFERROR(__xludf.DUMMYFUNCTION("""COMPUTED_VALUE"""),"二年級")</f>
        <v>二年級</v>
      </c>
      <c r="G917" s="10" t="str">
        <f>IFERROR(__xludf.DUMMYFUNCTION("""COMPUTED_VALUE"""),"獎狀")</f>
        <v>獎狀</v>
      </c>
      <c r="H917" s="9"/>
    </row>
    <row r="918">
      <c r="A918" s="5" t="s">
        <v>9</v>
      </c>
      <c r="B918" s="9" t="str">
        <f>IFERROR(__xludf.DUMMYFUNCTION("""COMPUTED_VALUE"""),"許O晶")</f>
        <v>許O晶</v>
      </c>
      <c r="C918" s="9" t="str">
        <f>IFERROR(__xludf.DUMMYFUNCTION("""COMPUTED_VALUE"""),"min*****09@gmail.com")</f>
        <v>min*****09@gmail.com</v>
      </c>
      <c r="D918" s="9" t="str">
        <f>IFERROR(__xludf.DUMMYFUNCTION("""COMPUTED_VALUE"""),"臺中市立大甲高級中等學校")</f>
        <v>臺中市立大甲高級中等學校</v>
      </c>
      <c r="E918" s="9" t="str">
        <f>IFERROR(__xludf.DUMMYFUNCTION("""COMPUTED_VALUE"""),"普通科")</f>
        <v>普通科</v>
      </c>
      <c r="F918" s="9" t="str">
        <f>IFERROR(__xludf.DUMMYFUNCTION("""COMPUTED_VALUE"""),"二年級")</f>
        <v>二年級</v>
      </c>
      <c r="G918" s="10" t="str">
        <f>IFERROR(__xludf.DUMMYFUNCTION("""COMPUTED_VALUE"""),"獎狀")</f>
        <v>獎狀</v>
      </c>
      <c r="H918" s="9"/>
    </row>
    <row r="919">
      <c r="A919" s="5" t="s">
        <v>9</v>
      </c>
      <c r="B919" s="9" t="str">
        <f>IFERROR(__xludf.DUMMYFUNCTION("""COMPUTED_VALUE"""),"鄭O妤")</f>
        <v>鄭O妤</v>
      </c>
      <c r="C919" s="9" t="str">
        <f>IFERROR(__xludf.DUMMYFUNCTION("""COMPUTED_VALUE"""),"yuy*****01@gmail.com")</f>
        <v>yuy*****01@gmail.com</v>
      </c>
      <c r="D919" s="9" t="str">
        <f>IFERROR(__xludf.DUMMYFUNCTION("""COMPUTED_VALUE"""),"臺中市立大甲高級中等學校")</f>
        <v>臺中市立大甲高級中等學校</v>
      </c>
      <c r="E919" s="9" t="str">
        <f>IFERROR(__xludf.DUMMYFUNCTION("""COMPUTED_VALUE"""),"普通科")</f>
        <v>普通科</v>
      </c>
      <c r="F919" s="9" t="str">
        <f>IFERROR(__xludf.DUMMYFUNCTION("""COMPUTED_VALUE"""),"二年級")</f>
        <v>二年級</v>
      </c>
      <c r="G919" s="10" t="str">
        <f>IFERROR(__xludf.DUMMYFUNCTION("""COMPUTED_VALUE"""),"獎狀")</f>
        <v>獎狀</v>
      </c>
      <c r="H919" s="9"/>
    </row>
    <row r="920">
      <c r="A920" s="5" t="s">
        <v>9</v>
      </c>
      <c r="B920" s="9" t="str">
        <f>IFERROR(__xludf.DUMMYFUNCTION("""COMPUTED_VALUE"""),"黃O碩")</f>
        <v>黃O碩</v>
      </c>
      <c r="C920" s="9" t="str">
        <f>IFERROR(__xludf.DUMMYFUNCTION("""COMPUTED_VALUE"""),"hte*****0@mail.edu.tw")</f>
        <v>hte*****0@mail.edu.tw</v>
      </c>
      <c r="D920" s="9" t="str">
        <f>IFERROR(__xludf.DUMMYFUNCTION("""COMPUTED_VALUE"""),"國立彰化高級中學")</f>
        <v>國立彰化高級中學</v>
      </c>
      <c r="E920" s="9" t="str">
        <f>IFERROR(__xludf.DUMMYFUNCTION("""COMPUTED_VALUE"""),"普通科")</f>
        <v>普通科</v>
      </c>
      <c r="F920" s="9" t="str">
        <f>IFERROR(__xludf.DUMMYFUNCTION("""COMPUTED_VALUE"""),"二年級")</f>
        <v>二年級</v>
      </c>
      <c r="G920" s="10" t="str">
        <f>IFERROR(__xludf.DUMMYFUNCTION("""COMPUTED_VALUE"""),"獎狀")</f>
        <v>獎狀</v>
      </c>
      <c r="H920" s="11"/>
    </row>
    <row r="921">
      <c r="A921" s="5" t="s">
        <v>9</v>
      </c>
      <c r="B921" s="9" t="str">
        <f>IFERROR(__xludf.DUMMYFUNCTION("""COMPUTED_VALUE"""),"蔡O澍")</f>
        <v>蔡O澍</v>
      </c>
      <c r="C921" s="9" t="str">
        <f>IFERROR(__xludf.DUMMYFUNCTION("""COMPUTED_VALUE"""),"310*****t.chsh.chc.edu.tw")</f>
        <v>310*****t.chsh.chc.edu.tw</v>
      </c>
      <c r="D921" s="9" t="str">
        <f>IFERROR(__xludf.DUMMYFUNCTION("""COMPUTED_VALUE"""),"國立彰化高級中學")</f>
        <v>國立彰化高級中學</v>
      </c>
      <c r="E921" s="9" t="str">
        <f>IFERROR(__xludf.DUMMYFUNCTION("""COMPUTED_VALUE"""),"普通科")</f>
        <v>普通科</v>
      </c>
      <c r="F921" s="9" t="str">
        <f>IFERROR(__xludf.DUMMYFUNCTION("""COMPUTED_VALUE"""),"二年級")</f>
        <v>二年級</v>
      </c>
      <c r="G921" s="10" t="str">
        <f>IFERROR(__xludf.DUMMYFUNCTION("""COMPUTED_VALUE"""),"獎狀")</f>
        <v>獎狀</v>
      </c>
      <c r="H921" s="11"/>
    </row>
    <row r="922">
      <c r="A922" s="5" t="s">
        <v>9</v>
      </c>
      <c r="B922" s="9" t="str">
        <f>IFERROR(__xludf.DUMMYFUNCTION("""COMPUTED_VALUE"""),"粘O哲")</f>
        <v>粘O哲</v>
      </c>
      <c r="C922" s="9" t="str">
        <f>IFERROR(__xludf.DUMMYFUNCTION("""COMPUTED_VALUE"""),"210*****t.chsh.chc.edu.tw")</f>
        <v>210*****t.chsh.chc.edu.tw</v>
      </c>
      <c r="D922" s="9" t="str">
        <f>IFERROR(__xludf.DUMMYFUNCTION("""COMPUTED_VALUE"""),"國立彰化高級中學")</f>
        <v>國立彰化高級中學</v>
      </c>
      <c r="E922" s="9" t="str">
        <f>IFERROR(__xludf.DUMMYFUNCTION("""COMPUTED_VALUE"""),"普通科")</f>
        <v>普通科</v>
      </c>
      <c r="F922" s="9" t="str">
        <f>IFERROR(__xludf.DUMMYFUNCTION("""COMPUTED_VALUE"""),"三年級")</f>
        <v>三年級</v>
      </c>
      <c r="G922" s="10" t="str">
        <f>IFERROR(__xludf.DUMMYFUNCTION("""COMPUTED_VALUE"""),"獎狀")</f>
        <v>獎狀</v>
      </c>
      <c r="H922" s="9"/>
    </row>
    <row r="923">
      <c r="A923" s="5" t="s">
        <v>9</v>
      </c>
      <c r="B923" s="9" t="str">
        <f>IFERROR(__xludf.DUMMYFUNCTION("""COMPUTED_VALUE"""),"李O賢")</f>
        <v>李O賢</v>
      </c>
      <c r="C923" s="9" t="str">
        <f>IFERROR(__xludf.DUMMYFUNCTION("""COMPUTED_VALUE"""),"pag*****5@gmail.com")</f>
        <v>pag*****5@gmail.com</v>
      </c>
      <c r="D923" s="9" t="str">
        <f>IFERROR(__xludf.DUMMYFUNCTION("""COMPUTED_VALUE"""),"國立彰化高級中學")</f>
        <v>國立彰化高級中學</v>
      </c>
      <c r="E923" s="9" t="str">
        <f>IFERROR(__xludf.DUMMYFUNCTION("""COMPUTED_VALUE"""),"普通科")</f>
        <v>普通科</v>
      </c>
      <c r="F923" s="9" t="str">
        <f>IFERROR(__xludf.DUMMYFUNCTION("""COMPUTED_VALUE"""),"三年級")</f>
        <v>三年級</v>
      </c>
      <c r="G923" s="10" t="str">
        <f>IFERROR(__xludf.DUMMYFUNCTION("""COMPUTED_VALUE"""),"獎狀")</f>
        <v>獎狀</v>
      </c>
      <c r="H923" s="9"/>
    </row>
    <row r="924">
      <c r="A924" s="5" t="s">
        <v>9</v>
      </c>
      <c r="B924" s="9" t="str">
        <f>IFERROR(__xludf.DUMMYFUNCTION("""COMPUTED_VALUE"""),"張O智")</f>
        <v>張O智</v>
      </c>
      <c r="C924" s="9" t="str">
        <f>IFERROR(__xludf.DUMMYFUNCTION("""COMPUTED_VALUE"""),"210*****t.chsh.chc.edu.tw")</f>
        <v>210*****t.chsh.chc.edu.tw</v>
      </c>
      <c r="D924" s="9" t="str">
        <f>IFERROR(__xludf.DUMMYFUNCTION("""COMPUTED_VALUE"""),"國立彰化高級中學")</f>
        <v>國立彰化高級中學</v>
      </c>
      <c r="E924" s="9" t="str">
        <f>IFERROR(__xludf.DUMMYFUNCTION("""COMPUTED_VALUE"""),"普通科")</f>
        <v>普通科</v>
      </c>
      <c r="F924" s="9" t="str">
        <f>IFERROR(__xludf.DUMMYFUNCTION("""COMPUTED_VALUE"""),"三年級")</f>
        <v>三年級</v>
      </c>
      <c r="G924" s="10" t="str">
        <f>IFERROR(__xludf.DUMMYFUNCTION("""COMPUTED_VALUE"""),"獎狀")</f>
        <v>獎狀</v>
      </c>
      <c r="H924" s="9"/>
    </row>
    <row r="925">
      <c r="A925" s="5" t="s">
        <v>9</v>
      </c>
      <c r="B925" s="9" t="str">
        <f>IFERROR(__xludf.DUMMYFUNCTION("""COMPUTED_VALUE"""),"許O菲")</f>
        <v>許O菲</v>
      </c>
      <c r="C925" s="9" t="str">
        <f>IFERROR(__xludf.DUMMYFUNCTION("""COMPUTED_VALUE"""),"yun*****u090807@gmail.com")</f>
        <v>yun*****u090807@gmail.com</v>
      </c>
      <c r="D925" s="9" t="str">
        <f>IFERROR(__xludf.DUMMYFUNCTION("""COMPUTED_VALUE"""),"國立彰化女子高級中學")</f>
        <v>國立彰化女子高級中學</v>
      </c>
      <c r="E925" s="9" t="str">
        <f>IFERROR(__xludf.DUMMYFUNCTION("""COMPUTED_VALUE"""),"普通科")</f>
        <v>普通科</v>
      </c>
      <c r="F925" s="9" t="str">
        <f>IFERROR(__xludf.DUMMYFUNCTION("""COMPUTED_VALUE"""),"一年級")</f>
        <v>一年級</v>
      </c>
      <c r="G925" s="10" t="str">
        <f>IFERROR(__xludf.DUMMYFUNCTION("""COMPUTED_VALUE"""),"■商品卡$200")</f>
        <v>■商品卡$200</v>
      </c>
      <c r="H925" s="11"/>
    </row>
    <row r="926">
      <c r="A926" s="5" t="s">
        <v>9</v>
      </c>
      <c r="B926" s="9" t="str">
        <f>IFERROR(__xludf.DUMMYFUNCTION("""COMPUTED_VALUE"""),"鄭O湄")</f>
        <v>鄭O湄</v>
      </c>
      <c r="C926" s="9" t="str">
        <f>IFERROR(__xludf.DUMMYFUNCTION("""COMPUTED_VALUE"""),"cge*****024@mail.edu.tw")</f>
        <v>cge*****024@mail.edu.tw</v>
      </c>
      <c r="D926" s="9" t="str">
        <f>IFERROR(__xludf.DUMMYFUNCTION("""COMPUTED_VALUE"""),"國立彰化女子高級中學")</f>
        <v>國立彰化女子高級中學</v>
      </c>
      <c r="E926" s="9" t="str">
        <f>IFERROR(__xludf.DUMMYFUNCTION("""COMPUTED_VALUE"""),"普通科")</f>
        <v>普通科</v>
      </c>
      <c r="F926" s="9" t="str">
        <f>IFERROR(__xludf.DUMMYFUNCTION("""COMPUTED_VALUE"""),"一年級")</f>
        <v>一年級</v>
      </c>
      <c r="G926" s="10" t="str">
        <f>IFERROR(__xludf.DUMMYFUNCTION("""COMPUTED_VALUE"""),"獎狀")</f>
        <v>獎狀</v>
      </c>
      <c r="H926" s="11"/>
    </row>
    <row r="927">
      <c r="A927" s="5" t="s">
        <v>9</v>
      </c>
      <c r="B927" s="9" t="str">
        <f>IFERROR(__xludf.DUMMYFUNCTION("""COMPUTED_VALUE"""),"江O樺")</f>
        <v>江O樺</v>
      </c>
      <c r="C927" s="9" t="str">
        <f>IFERROR(__xludf.DUMMYFUNCTION("""COMPUTED_VALUE"""),"u21*****chgsh.chc.edu.tw")</f>
        <v>u21*****chgsh.chc.edu.tw</v>
      </c>
      <c r="D927" s="9" t="str">
        <f>IFERROR(__xludf.DUMMYFUNCTION("""COMPUTED_VALUE"""),"國立彰化女子高級中學")</f>
        <v>國立彰化女子高級中學</v>
      </c>
      <c r="E927" s="9" t="str">
        <f>IFERROR(__xludf.DUMMYFUNCTION("""COMPUTED_VALUE"""),"普通科")</f>
        <v>普通科</v>
      </c>
      <c r="F927" s="9" t="str">
        <f>IFERROR(__xludf.DUMMYFUNCTION("""COMPUTED_VALUE"""),"二年級")</f>
        <v>二年級</v>
      </c>
      <c r="G927" s="10" t="str">
        <f>IFERROR(__xludf.DUMMYFUNCTION("""COMPUTED_VALUE"""),"獎狀")</f>
        <v>獎狀</v>
      </c>
      <c r="H927" s="9"/>
    </row>
    <row r="928">
      <c r="A928" s="5" t="s">
        <v>9</v>
      </c>
      <c r="B928" s="9" t="str">
        <f>IFERROR(__xludf.DUMMYFUNCTION("""COMPUTED_VALUE"""),"陳O涵")</f>
        <v>陳O涵</v>
      </c>
      <c r="C928" s="9" t="str">
        <f>IFERROR(__xludf.DUMMYFUNCTION("""COMPUTED_VALUE"""),"u21*****chgsh.chc.edu.tw")</f>
        <v>u21*****chgsh.chc.edu.tw</v>
      </c>
      <c r="D928" s="9" t="str">
        <f>IFERROR(__xludf.DUMMYFUNCTION("""COMPUTED_VALUE"""),"國立彰化女子高級中學")</f>
        <v>國立彰化女子高級中學</v>
      </c>
      <c r="E928" s="9" t="str">
        <f>IFERROR(__xludf.DUMMYFUNCTION("""COMPUTED_VALUE"""),"普通科")</f>
        <v>普通科</v>
      </c>
      <c r="F928" s="9" t="str">
        <f>IFERROR(__xludf.DUMMYFUNCTION("""COMPUTED_VALUE"""),"二年級")</f>
        <v>二年級</v>
      </c>
      <c r="G928" s="10" t="str">
        <f>IFERROR(__xludf.DUMMYFUNCTION("""COMPUTED_VALUE"""),"獎狀")</f>
        <v>獎狀</v>
      </c>
      <c r="H928" s="11"/>
    </row>
    <row r="929">
      <c r="A929" s="5" t="s">
        <v>9</v>
      </c>
      <c r="B929" s="9" t="str">
        <f>IFERROR(__xludf.DUMMYFUNCTION("""COMPUTED_VALUE"""),"陳O儒")</f>
        <v>陳O儒</v>
      </c>
      <c r="C929" s="9" t="str">
        <f>IFERROR(__xludf.DUMMYFUNCTION("""COMPUTED_VALUE"""),"che*****981211@gmail.com")</f>
        <v>che*****981211@gmail.com</v>
      </c>
      <c r="D929" s="9" t="str">
        <f>IFERROR(__xludf.DUMMYFUNCTION("""COMPUTED_VALUE"""),"彰化縣立彰化藝術高級中學")</f>
        <v>彰化縣立彰化藝術高級中學</v>
      </c>
      <c r="E929" s="9" t="str">
        <f>IFERROR(__xludf.DUMMYFUNCTION("""COMPUTED_VALUE"""),"普通科")</f>
        <v>普通科</v>
      </c>
      <c r="F929" s="9" t="str">
        <f>IFERROR(__xludf.DUMMYFUNCTION("""COMPUTED_VALUE"""),"一年級")</f>
        <v>一年級</v>
      </c>
      <c r="G929" s="10" t="str">
        <f>IFERROR(__xludf.DUMMYFUNCTION("""COMPUTED_VALUE"""),"獎狀")</f>
        <v>獎狀</v>
      </c>
      <c r="H929" s="11" t="str">
        <f>IFERROR(__xludf.DUMMYFUNCTION("""COMPUTED_VALUE"""),"學籍資料不齊，請提供【就讀班級】")</f>
        <v>學籍資料不齊，請提供【就讀班級】</v>
      </c>
    </row>
    <row r="930">
      <c r="A930" s="5" t="s">
        <v>9</v>
      </c>
      <c r="B930" s="9" t="str">
        <f>IFERROR(__xludf.DUMMYFUNCTION("""COMPUTED_VALUE"""),"韓O豫")</f>
        <v>韓O豫</v>
      </c>
      <c r="C930" s="9" t="str">
        <f>IFERROR(__xludf.DUMMYFUNCTION("""COMPUTED_VALUE"""),"cha*****192@chash.chc.edu.tw")</f>
        <v>cha*****192@chash.chc.edu.tw</v>
      </c>
      <c r="D930" s="9" t="str">
        <f>IFERROR(__xludf.DUMMYFUNCTION("""COMPUTED_VALUE"""),"彰化縣立彰化藝術高級中學")</f>
        <v>彰化縣立彰化藝術高級中學</v>
      </c>
      <c r="E930" s="9" t="str">
        <f>IFERROR(__xludf.DUMMYFUNCTION("""COMPUTED_VALUE"""),"普通科")</f>
        <v>普通科</v>
      </c>
      <c r="F930" s="9" t="str">
        <f>IFERROR(__xludf.DUMMYFUNCTION("""COMPUTED_VALUE"""),"三年級")</f>
        <v>三年級</v>
      </c>
      <c r="G930" s="10" t="str">
        <f>IFERROR(__xludf.DUMMYFUNCTION("""COMPUTED_VALUE"""),"獎狀")</f>
        <v>獎狀</v>
      </c>
      <c r="H930" s="9"/>
    </row>
    <row r="931">
      <c r="A931" s="5" t="s">
        <v>9</v>
      </c>
      <c r="B931" s="9" t="str">
        <f>IFERROR(__xludf.DUMMYFUNCTION("""COMPUTED_VALUE"""),"楊O橙")</f>
        <v>楊O橙</v>
      </c>
      <c r="C931" s="9" t="str">
        <f>IFERROR(__xludf.DUMMYFUNCTION("""COMPUTED_VALUE"""),"291*****tu.cchs.chc.edu.tw")</f>
        <v>291*****tu.cchs.chc.edu.tw</v>
      </c>
      <c r="D931" s="9" t="str">
        <f>IFERROR(__xludf.DUMMYFUNCTION("""COMPUTED_VALUE"""),"彰化縣私立精誠高級中學")</f>
        <v>彰化縣私立精誠高級中學</v>
      </c>
      <c r="E931" s="9" t="str">
        <f>IFERROR(__xludf.DUMMYFUNCTION("""COMPUTED_VALUE"""),"普通科")</f>
        <v>普通科</v>
      </c>
      <c r="F931" s="9" t="str">
        <f>IFERROR(__xludf.DUMMYFUNCTION("""COMPUTED_VALUE"""),"三年級")</f>
        <v>三年級</v>
      </c>
      <c r="G931" s="10" t="str">
        <f>IFERROR(__xludf.DUMMYFUNCTION("""COMPUTED_VALUE"""),"★商品卡$1000")</f>
        <v>★商品卡$1000</v>
      </c>
      <c r="H931" s="9"/>
    </row>
    <row r="932">
      <c r="A932" s="5" t="s">
        <v>9</v>
      </c>
      <c r="B932" s="9" t="str">
        <f>IFERROR(__xludf.DUMMYFUNCTION("""COMPUTED_VALUE"""),"林O慈")</f>
        <v>林O慈</v>
      </c>
      <c r="C932" s="9" t="str">
        <f>IFERROR(__xludf.DUMMYFUNCTION("""COMPUTED_VALUE"""),"s31*****stu.chsc.tw")</f>
        <v>s31*****stu.chsc.tw</v>
      </c>
      <c r="D932" s="9" t="str">
        <f>IFERROR(__xludf.DUMMYFUNCTION("""COMPUTED_VALUE"""),"國立彰化高級商業職業學校")</f>
        <v>國立彰化高級商業職業學校</v>
      </c>
      <c r="E932" s="9" t="str">
        <f>IFERROR(__xludf.DUMMYFUNCTION("""COMPUTED_VALUE"""),"普通科")</f>
        <v>普通科</v>
      </c>
      <c r="F932" s="9" t="str">
        <f>IFERROR(__xludf.DUMMYFUNCTION("""COMPUTED_VALUE"""),"二年級")</f>
        <v>二年級</v>
      </c>
      <c r="G932" s="10" t="str">
        <f>IFERROR(__xludf.DUMMYFUNCTION("""COMPUTED_VALUE"""),"獎狀")</f>
        <v>獎狀</v>
      </c>
      <c r="H932" s="9"/>
    </row>
    <row r="933">
      <c r="A933" s="5" t="s">
        <v>9</v>
      </c>
      <c r="B933" s="9" t="str">
        <f>IFERROR(__xludf.DUMMYFUNCTION("""COMPUTED_VALUE"""),"張O豈")</f>
        <v>張O豈</v>
      </c>
      <c r="C933" s="9" t="str">
        <f>IFERROR(__xludf.DUMMYFUNCTION("""COMPUTED_VALUE"""),"s31*****stu.chsc.tw")</f>
        <v>s31*****stu.chsc.tw</v>
      </c>
      <c r="D933" s="9" t="str">
        <f>IFERROR(__xludf.DUMMYFUNCTION("""COMPUTED_VALUE"""),"國立彰化高級商業職業學校")</f>
        <v>國立彰化高級商業職業學校</v>
      </c>
      <c r="E933" s="9" t="str">
        <f>IFERROR(__xludf.DUMMYFUNCTION("""COMPUTED_VALUE"""),"普通科")</f>
        <v>普通科</v>
      </c>
      <c r="F933" s="9" t="str">
        <f>IFERROR(__xludf.DUMMYFUNCTION("""COMPUTED_VALUE"""),"二年級")</f>
        <v>二年級</v>
      </c>
      <c r="G933" s="10" t="str">
        <f>IFERROR(__xludf.DUMMYFUNCTION("""COMPUTED_VALUE"""),"獎狀")</f>
        <v>獎狀</v>
      </c>
      <c r="H933" s="9"/>
    </row>
    <row r="934">
      <c r="A934" s="5" t="s">
        <v>9</v>
      </c>
      <c r="B934" s="9" t="str">
        <f>IFERROR(__xludf.DUMMYFUNCTION("""COMPUTED_VALUE"""),"江O樺")</f>
        <v>江O樺</v>
      </c>
      <c r="C934" s="9" t="str">
        <f>IFERROR(__xludf.DUMMYFUNCTION("""COMPUTED_VALUE"""),"s31*****stu.chsc.tw")</f>
        <v>s31*****stu.chsc.tw</v>
      </c>
      <c r="D934" s="9" t="str">
        <f>IFERROR(__xludf.DUMMYFUNCTION("""COMPUTED_VALUE"""),"國立彰化高級商業職業學校")</f>
        <v>國立彰化高級商業職業學校</v>
      </c>
      <c r="E934" s="9" t="str">
        <f>IFERROR(__xludf.DUMMYFUNCTION("""COMPUTED_VALUE"""),"普通科")</f>
        <v>普通科</v>
      </c>
      <c r="F934" s="9" t="str">
        <f>IFERROR(__xludf.DUMMYFUNCTION("""COMPUTED_VALUE"""),"二年級")</f>
        <v>二年級</v>
      </c>
      <c r="G934" s="10" t="str">
        <f>IFERROR(__xludf.DUMMYFUNCTION("""COMPUTED_VALUE"""),"獎狀")</f>
        <v>獎狀</v>
      </c>
      <c r="H934" s="9"/>
    </row>
    <row r="935">
      <c r="A935" s="5" t="s">
        <v>9</v>
      </c>
      <c r="B935" s="9" t="str">
        <f>IFERROR(__xludf.DUMMYFUNCTION("""COMPUTED_VALUE"""),"朱O儀")</f>
        <v>朱O儀</v>
      </c>
      <c r="C935" s="9" t="str">
        <f>IFERROR(__xludf.DUMMYFUNCTION("""COMPUTED_VALUE"""),"s31*****stu.chsc.tw")</f>
        <v>s31*****stu.chsc.tw</v>
      </c>
      <c r="D935" s="9" t="str">
        <f>IFERROR(__xludf.DUMMYFUNCTION("""COMPUTED_VALUE"""),"國立彰化高級商業職業學校")</f>
        <v>國立彰化高級商業職業學校</v>
      </c>
      <c r="E935" s="9" t="str">
        <f>IFERROR(__xludf.DUMMYFUNCTION("""COMPUTED_VALUE"""),"普通科")</f>
        <v>普通科</v>
      </c>
      <c r="F935" s="9" t="str">
        <f>IFERROR(__xludf.DUMMYFUNCTION("""COMPUTED_VALUE"""),"二年級")</f>
        <v>二年級</v>
      </c>
      <c r="G935" s="10" t="str">
        <f>IFERROR(__xludf.DUMMYFUNCTION("""COMPUTED_VALUE"""),"獎狀")</f>
        <v>獎狀</v>
      </c>
      <c r="H935" s="9"/>
    </row>
    <row r="936">
      <c r="A936" s="5" t="s">
        <v>9</v>
      </c>
      <c r="B936" s="9" t="str">
        <f>IFERROR(__xludf.DUMMYFUNCTION("""COMPUTED_VALUE"""),"謝O錩")</f>
        <v>謝O錩</v>
      </c>
      <c r="C936" s="9" t="str">
        <f>IFERROR(__xludf.DUMMYFUNCTION("""COMPUTED_VALUE"""),"s31*****stu.chsc.tw")</f>
        <v>s31*****stu.chsc.tw</v>
      </c>
      <c r="D936" s="9" t="str">
        <f>IFERROR(__xludf.DUMMYFUNCTION("""COMPUTED_VALUE"""),"國立彰化高級商業職業學校")</f>
        <v>國立彰化高級商業職業學校</v>
      </c>
      <c r="E936" s="9" t="str">
        <f>IFERROR(__xludf.DUMMYFUNCTION("""COMPUTED_VALUE"""),"普通科")</f>
        <v>普通科</v>
      </c>
      <c r="F936" s="9" t="str">
        <f>IFERROR(__xludf.DUMMYFUNCTION("""COMPUTED_VALUE"""),"二年級")</f>
        <v>二年級</v>
      </c>
      <c r="G936" s="10" t="str">
        <f>IFERROR(__xludf.DUMMYFUNCTION("""COMPUTED_VALUE"""),"獎狀")</f>
        <v>獎狀</v>
      </c>
      <c r="H936" s="9"/>
    </row>
    <row r="937">
      <c r="A937" s="5" t="s">
        <v>9</v>
      </c>
      <c r="B937" s="9" t="str">
        <f>IFERROR(__xludf.DUMMYFUNCTION("""COMPUTED_VALUE"""),"楊O葵")</f>
        <v>楊O葵</v>
      </c>
      <c r="C937" s="9" t="str">
        <f>IFERROR(__xludf.DUMMYFUNCTION("""COMPUTED_VALUE"""),"s31*****stu.chsc.tw")</f>
        <v>s31*****stu.chsc.tw</v>
      </c>
      <c r="D937" s="9" t="str">
        <f>IFERROR(__xludf.DUMMYFUNCTION("""COMPUTED_VALUE"""),"國立彰化高級商業職業學校")</f>
        <v>國立彰化高級商業職業學校</v>
      </c>
      <c r="E937" s="9" t="str">
        <f>IFERROR(__xludf.DUMMYFUNCTION("""COMPUTED_VALUE"""),"綜高科")</f>
        <v>綜高科</v>
      </c>
      <c r="F937" s="9" t="str">
        <f>IFERROR(__xludf.DUMMYFUNCTION("""COMPUTED_VALUE"""),"二年級")</f>
        <v>二年級</v>
      </c>
      <c r="G937" s="10" t="str">
        <f>IFERROR(__xludf.DUMMYFUNCTION("""COMPUTED_VALUE"""),"獎狀")</f>
        <v>獎狀</v>
      </c>
      <c r="H937" s="9"/>
    </row>
    <row r="938">
      <c r="A938" s="5" t="s">
        <v>9</v>
      </c>
      <c r="B938" s="9" t="str">
        <f>IFERROR(__xludf.DUMMYFUNCTION("""COMPUTED_VALUE"""),"張O寧")</f>
        <v>張O寧</v>
      </c>
      <c r="C938" s="9" t="str">
        <f>IFERROR(__xludf.DUMMYFUNCTION("""COMPUTED_VALUE"""),"s31*****stu.chsc.tw")</f>
        <v>s31*****stu.chsc.tw</v>
      </c>
      <c r="D938" s="9" t="str">
        <f>IFERROR(__xludf.DUMMYFUNCTION("""COMPUTED_VALUE"""),"國立彰化高級商業職業學校")</f>
        <v>國立彰化高級商業職業學校</v>
      </c>
      <c r="E938" s="9" t="str">
        <f>IFERROR(__xludf.DUMMYFUNCTION("""COMPUTED_VALUE"""),"綜高科")</f>
        <v>綜高科</v>
      </c>
      <c r="F938" s="9" t="str">
        <f>IFERROR(__xludf.DUMMYFUNCTION("""COMPUTED_VALUE"""),"二年級")</f>
        <v>二年級</v>
      </c>
      <c r="G938" s="10" t="str">
        <f>IFERROR(__xludf.DUMMYFUNCTION("""COMPUTED_VALUE"""),"獎狀")</f>
        <v>獎狀</v>
      </c>
      <c r="H938" s="9"/>
    </row>
    <row r="939">
      <c r="A939" s="5" t="s">
        <v>9</v>
      </c>
      <c r="B939" s="9" t="str">
        <f>IFERROR(__xludf.DUMMYFUNCTION("""COMPUTED_VALUE"""),"陳O慈")</f>
        <v>陳O慈</v>
      </c>
      <c r="C939" s="9" t="str">
        <f>IFERROR(__xludf.DUMMYFUNCTION("""COMPUTED_VALUE"""),"s21*****stu.chsc.tw")</f>
        <v>s21*****stu.chsc.tw</v>
      </c>
      <c r="D939" s="9" t="str">
        <f>IFERROR(__xludf.DUMMYFUNCTION("""COMPUTED_VALUE"""),"國立彰化高級商業職業學校")</f>
        <v>國立彰化高級商業職業學校</v>
      </c>
      <c r="E939" s="9" t="str">
        <f>IFERROR(__xludf.DUMMYFUNCTION("""COMPUTED_VALUE"""),"綜高科")</f>
        <v>綜高科</v>
      </c>
      <c r="F939" s="9" t="str">
        <f>IFERROR(__xludf.DUMMYFUNCTION("""COMPUTED_VALUE"""),"二年級")</f>
        <v>二年級</v>
      </c>
      <c r="G939" s="10" t="str">
        <f>IFERROR(__xludf.DUMMYFUNCTION("""COMPUTED_VALUE"""),"獎狀")</f>
        <v>獎狀</v>
      </c>
      <c r="H939" s="9"/>
    </row>
    <row r="940">
      <c r="A940" s="5" t="s">
        <v>9</v>
      </c>
      <c r="B940" s="9" t="str">
        <f>IFERROR(__xludf.DUMMYFUNCTION("""COMPUTED_VALUE"""),"粘O嘉")</f>
        <v>粘O嘉</v>
      </c>
      <c r="C940" s="9" t="str">
        <f>IFERROR(__xludf.DUMMYFUNCTION("""COMPUTED_VALUE"""),"a09*****535@gmail.com")</f>
        <v>a09*****535@gmail.com</v>
      </c>
      <c r="D940" s="9" t="str">
        <f>IFERROR(__xludf.DUMMYFUNCTION("""COMPUTED_VALUE"""),"國立鹿港高級中學")</f>
        <v>國立鹿港高級中學</v>
      </c>
      <c r="E940" s="9" t="str">
        <f>IFERROR(__xludf.DUMMYFUNCTION("""COMPUTED_VALUE"""),"普通科")</f>
        <v>普通科</v>
      </c>
      <c r="F940" s="9" t="str">
        <f>IFERROR(__xludf.DUMMYFUNCTION("""COMPUTED_VALUE"""),"二年級")</f>
        <v>二年級</v>
      </c>
      <c r="G940" s="10" t="str">
        <f>IFERROR(__xludf.DUMMYFUNCTION("""COMPUTED_VALUE"""),"獎狀")</f>
        <v>獎狀</v>
      </c>
      <c r="H940" s="9"/>
    </row>
    <row r="941">
      <c r="A941" s="5" t="s">
        <v>9</v>
      </c>
      <c r="B941" s="9" t="str">
        <f>IFERROR(__xludf.DUMMYFUNCTION("""COMPUTED_VALUE"""),"陳O芯")</f>
        <v>陳O芯</v>
      </c>
      <c r="C941" s="9" t="str">
        <f>IFERROR(__xludf.DUMMYFUNCTION("""COMPUTED_VALUE"""),"s31*****apps.lksh.chc.edu.tw")</f>
        <v>s31*****apps.lksh.chc.edu.tw</v>
      </c>
      <c r="D941" s="9" t="str">
        <f>IFERROR(__xludf.DUMMYFUNCTION("""COMPUTED_VALUE"""),"國立鹿港高級中學")</f>
        <v>國立鹿港高級中學</v>
      </c>
      <c r="E941" s="9" t="str">
        <f>IFERROR(__xludf.DUMMYFUNCTION("""COMPUTED_VALUE"""),"普通科")</f>
        <v>普通科</v>
      </c>
      <c r="F941" s="9" t="str">
        <f>IFERROR(__xludf.DUMMYFUNCTION("""COMPUTED_VALUE"""),"二年級")</f>
        <v>二年級</v>
      </c>
      <c r="G941" s="10" t="str">
        <f>IFERROR(__xludf.DUMMYFUNCTION("""COMPUTED_VALUE"""),"獎狀")</f>
        <v>獎狀</v>
      </c>
      <c r="H941" s="9"/>
    </row>
    <row r="942">
      <c r="A942" s="5" t="s">
        <v>9</v>
      </c>
      <c r="B942" s="9" t="str">
        <f>IFERROR(__xludf.DUMMYFUNCTION("""COMPUTED_VALUE"""),"陳O勛")</f>
        <v>陳O勛</v>
      </c>
      <c r="C942" s="9" t="str">
        <f>IFERROR(__xludf.DUMMYFUNCTION("""COMPUTED_VALUE"""),"s31*****apps.lksh.chc.edu.tw")</f>
        <v>s31*****apps.lksh.chc.edu.tw</v>
      </c>
      <c r="D942" s="9" t="str">
        <f>IFERROR(__xludf.DUMMYFUNCTION("""COMPUTED_VALUE"""),"國立鹿港高級中學")</f>
        <v>國立鹿港高級中學</v>
      </c>
      <c r="E942" s="9" t="str">
        <f>IFERROR(__xludf.DUMMYFUNCTION("""COMPUTED_VALUE"""),"普通科")</f>
        <v>普通科</v>
      </c>
      <c r="F942" s="9" t="str">
        <f>IFERROR(__xludf.DUMMYFUNCTION("""COMPUTED_VALUE"""),"二年級")</f>
        <v>二年級</v>
      </c>
      <c r="G942" s="10" t="str">
        <f>IFERROR(__xludf.DUMMYFUNCTION("""COMPUTED_VALUE"""),"獎狀")</f>
        <v>獎狀</v>
      </c>
      <c r="H942" s="9"/>
    </row>
    <row r="943">
      <c r="A943" s="5" t="s">
        <v>9</v>
      </c>
      <c r="B943" s="9" t="str">
        <f>IFERROR(__xludf.DUMMYFUNCTION("""COMPUTED_VALUE"""),"黃O婷")</f>
        <v>黃O婷</v>
      </c>
      <c r="C943" s="9" t="str">
        <f>IFERROR(__xludf.DUMMYFUNCTION("""COMPUTED_VALUE"""),"s21*****apps.lksh.chc.edu.tw")</f>
        <v>s21*****apps.lksh.chc.edu.tw</v>
      </c>
      <c r="D943" s="9" t="str">
        <f>IFERROR(__xludf.DUMMYFUNCTION("""COMPUTED_VALUE"""),"國立鹿港高級中學")</f>
        <v>國立鹿港高級中學</v>
      </c>
      <c r="E943" s="9" t="str">
        <f>IFERROR(__xludf.DUMMYFUNCTION("""COMPUTED_VALUE"""),"普通科")</f>
        <v>普通科</v>
      </c>
      <c r="F943" s="9" t="str">
        <f>IFERROR(__xludf.DUMMYFUNCTION("""COMPUTED_VALUE"""),"二年級")</f>
        <v>二年級</v>
      </c>
      <c r="G943" s="10" t="str">
        <f>IFERROR(__xludf.DUMMYFUNCTION("""COMPUTED_VALUE"""),"獎狀")</f>
        <v>獎狀</v>
      </c>
      <c r="H943" s="9"/>
    </row>
    <row r="944">
      <c r="A944" s="5" t="s">
        <v>9</v>
      </c>
      <c r="B944" s="9" t="str">
        <f>IFERROR(__xludf.DUMMYFUNCTION("""COMPUTED_VALUE"""),"黃O恩")</f>
        <v>黃O恩</v>
      </c>
      <c r="C944" s="9" t="str">
        <f>IFERROR(__xludf.DUMMYFUNCTION("""COMPUTED_VALUE"""),"s31*****apps.lksh.chc.edu.tw")</f>
        <v>s31*****apps.lksh.chc.edu.tw</v>
      </c>
      <c r="D944" s="9" t="str">
        <f>IFERROR(__xludf.DUMMYFUNCTION("""COMPUTED_VALUE"""),"國立鹿港高級中學")</f>
        <v>國立鹿港高級中學</v>
      </c>
      <c r="E944" s="9" t="str">
        <f>IFERROR(__xludf.DUMMYFUNCTION("""COMPUTED_VALUE"""),"普通科")</f>
        <v>普通科</v>
      </c>
      <c r="F944" s="9" t="str">
        <f>IFERROR(__xludf.DUMMYFUNCTION("""COMPUTED_VALUE"""),"二年級")</f>
        <v>二年級</v>
      </c>
      <c r="G944" s="10" t="str">
        <f>IFERROR(__xludf.DUMMYFUNCTION("""COMPUTED_VALUE"""),"獎狀")</f>
        <v>獎狀</v>
      </c>
      <c r="H944" s="9"/>
    </row>
    <row r="945">
      <c r="A945" s="5" t="s">
        <v>9</v>
      </c>
      <c r="B945" s="9" t="str">
        <f>IFERROR(__xludf.DUMMYFUNCTION("""COMPUTED_VALUE"""),"龔O弘")</f>
        <v>龔O弘</v>
      </c>
      <c r="C945" s="9" t="str">
        <f>IFERROR(__xludf.DUMMYFUNCTION("""COMPUTED_VALUE"""),"s21*****apps.lksh.chc.edu.tw")</f>
        <v>s21*****apps.lksh.chc.edu.tw</v>
      </c>
      <c r="D945" s="9" t="str">
        <f>IFERROR(__xludf.DUMMYFUNCTION("""COMPUTED_VALUE"""),"國立鹿港高級中學")</f>
        <v>國立鹿港高級中學</v>
      </c>
      <c r="E945" s="9" t="str">
        <f>IFERROR(__xludf.DUMMYFUNCTION("""COMPUTED_VALUE"""),"普通科")</f>
        <v>普通科</v>
      </c>
      <c r="F945" s="9" t="str">
        <f>IFERROR(__xludf.DUMMYFUNCTION("""COMPUTED_VALUE"""),"二年級")</f>
        <v>二年級</v>
      </c>
      <c r="G945" s="10" t="str">
        <f>IFERROR(__xludf.DUMMYFUNCTION("""COMPUTED_VALUE"""),"獎狀")</f>
        <v>獎狀</v>
      </c>
      <c r="H945" s="9"/>
    </row>
    <row r="946">
      <c r="A946" s="5" t="s">
        <v>9</v>
      </c>
      <c r="B946" s="9" t="str">
        <f>IFERROR(__xludf.DUMMYFUNCTION("""COMPUTED_VALUE"""),"王O蕎")</f>
        <v>王O蕎</v>
      </c>
      <c r="C946" s="9" t="str">
        <f>IFERROR(__xludf.DUMMYFUNCTION("""COMPUTED_VALUE"""),"s21*****apps.lksh.chc.edu.tw")</f>
        <v>s21*****apps.lksh.chc.edu.tw</v>
      </c>
      <c r="D946" s="9" t="str">
        <f>IFERROR(__xludf.DUMMYFUNCTION("""COMPUTED_VALUE"""),"國立鹿港高級中學")</f>
        <v>國立鹿港高級中學</v>
      </c>
      <c r="E946" s="9" t="str">
        <f>IFERROR(__xludf.DUMMYFUNCTION("""COMPUTED_VALUE"""),"普通科")</f>
        <v>普通科</v>
      </c>
      <c r="F946" s="9" t="str">
        <f>IFERROR(__xludf.DUMMYFUNCTION("""COMPUTED_VALUE"""),"三年級")</f>
        <v>三年級</v>
      </c>
      <c r="G946" s="10" t="str">
        <f>IFERROR(__xludf.DUMMYFUNCTION("""COMPUTED_VALUE"""),"獎狀")</f>
        <v>獎狀</v>
      </c>
      <c r="H946" s="9"/>
    </row>
    <row r="947">
      <c r="A947" s="5" t="s">
        <v>9</v>
      </c>
      <c r="B947" s="9" t="str">
        <f>IFERROR(__xludf.DUMMYFUNCTION("""COMPUTED_VALUE"""),"黃O茜")</f>
        <v>黃O茜</v>
      </c>
      <c r="C947" s="9" t="str">
        <f>IFERROR(__xludf.DUMMYFUNCTION("""COMPUTED_VALUE"""),"s21*****apps.lksh.chc.edu.tw")</f>
        <v>s21*****apps.lksh.chc.edu.tw</v>
      </c>
      <c r="D947" s="9" t="str">
        <f>IFERROR(__xludf.DUMMYFUNCTION("""COMPUTED_VALUE"""),"國立鹿港高級中學")</f>
        <v>國立鹿港高級中學</v>
      </c>
      <c r="E947" s="9" t="str">
        <f>IFERROR(__xludf.DUMMYFUNCTION("""COMPUTED_VALUE"""),"普通科")</f>
        <v>普通科</v>
      </c>
      <c r="F947" s="9" t="str">
        <f>IFERROR(__xludf.DUMMYFUNCTION("""COMPUTED_VALUE"""),"三年級")</f>
        <v>三年級</v>
      </c>
      <c r="G947" s="10" t="str">
        <f>IFERROR(__xludf.DUMMYFUNCTION("""COMPUTED_VALUE"""),"獎狀")</f>
        <v>獎狀</v>
      </c>
      <c r="H947" s="9"/>
    </row>
    <row r="948">
      <c r="A948" s="5" t="s">
        <v>9</v>
      </c>
      <c r="B948" s="9" t="str">
        <f>IFERROR(__xludf.DUMMYFUNCTION("""COMPUTED_VALUE"""),"朱O慈")</f>
        <v>朱O慈</v>
      </c>
      <c r="C948" s="9" t="str">
        <f>IFERROR(__xludf.DUMMYFUNCTION("""COMPUTED_VALUE"""),"s21*****apps.lksh.chc.edu.tw")</f>
        <v>s21*****apps.lksh.chc.edu.tw</v>
      </c>
      <c r="D948" s="9" t="str">
        <f>IFERROR(__xludf.DUMMYFUNCTION("""COMPUTED_VALUE"""),"國立鹿港高級中學")</f>
        <v>國立鹿港高級中學</v>
      </c>
      <c r="E948" s="9" t="str">
        <f>IFERROR(__xludf.DUMMYFUNCTION("""COMPUTED_VALUE"""),"普通科")</f>
        <v>普通科</v>
      </c>
      <c r="F948" s="9" t="str">
        <f>IFERROR(__xludf.DUMMYFUNCTION("""COMPUTED_VALUE"""),"三年級")</f>
        <v>三年級</v>
      </c>
      <c r="G948" s="10" t="str">
        <f>IFERROR(__xludf.DUMMYFUNCTION("""COMPUTED_VALUE"""),"○商品卡$500")</f>
        <v>○商品卡$500</v>
      </c>
      <c r="H948" s="9"/>
    </row>
    <row r="949">
      <c r="A949" s="5" t="s">
        <v>9</v>
      </c>
      <c r="B949" s="9" t="str">
        <f>IFERROR(__xludf.DUMMYFUNCTION("""COMPUTED_VALUE"""),"林O傑")</f>
        <v>林O傑</v>
      </c>
      <c r="C949" s="9" t="str">
        <f>IFERROR(__xludf.DUMMYFUNCTION("""COMPUTED_VALUE"""),"s21*****apps.lksh.chc.edu.tw")</f>
        <v>s21*****apps.lksh.chc.edu.tw</v>
      </c>
      <c r="D949" s="9" t="str">
        <f>IFERROR(__xludf.DUMMYFUNCTION("""COMPUTED_VALUE"""),"國立鹿港高級中學")</f>
        <v>國立鹿港高級中學</v>
      </c>
      <c r="E949" s="9" t="str">
        <f>IFERROR(__xludf.DUMMYFUNCTION("""COMPUTED_VALUE"""),"普通科")</f>
        <v>普通科</v>
      </c>
      <c r="F949" s="9" t="str">
        <f>IFERROR(__xludf.DUMMYFUNCTION("""COMPUTED_VALUE"""),"三年級")</f>
        <v>三年級</v>
      </c>
      <c r="G949" s="10" t="str">
        <f>IFERROR(__xludf.DUMMYFUNCTION("""COMPUTED_VALUE"""),"獎狀")</f>
        <v>獎狀</v>
      </c>
      <c r="H949" s="9"/>
    </row>
    <row r="950">
      <c r="A950" s="5" t="s">
        <v>9</v>
      </c>
      <c r="B950" s="9" t="str">
        <f>IFERROR(__xludf.DUMMYFUNCTION("""COMPUTED_VALUE"""),"何O歆")</f>
        <v>何O歆</v>
      </c>
      <c r="C950" s="9" t="str">
        <f>IFERROR(__xludf.DUMMYFUNCTION("""COMPUTED_VALUE"""),"amy*****@gmail.com")</f>
        <v>amy*****@gmail.com</v>
      </c>
      <c r="D950" s="9" t="str">
        <f>IFERROR(__xludf.DUMMYFUNCTION("""COMPUTED_VALUE"""),"國立員林高級中學")</f>
        <v>國立員林高級中學</v>
      </c>
      <c r="E950" s="9" t="str">
        <f>IFERROR(__xludf.DUMMYFUNCTION("""COMPUTED_VALUE"""),"普通科")</f>
        <v>普通科</v>
      </c>
      <c r="F950" s="9" t="str">
        <f>IFERROR(__xludf.DUMMYFUNCTION("""COMPUTED_VALUE"""),"三年級")</f>
        <v>三年級</v>
      </c>
      <c r="G950" s="10" t="str">
        <f>IFERROR(__xludf.DUMMYFUNCTION("""COMPUTED_VALUE"""),"獎狀")</f>
        <v>獎狀</v>
      </c>
      <c r="H950" s="9"/>
    </row>
    <row r="951">
      <c r="A951" s="5" t="s">
        <v>9</v>
      </c>
      <c r="B951" s="9" t="str">
        <f>IFERROR(__xludf.DUMMYFUNCTION("""COMPUTED_VALUE"""),"龔O彥")</f>
        <v>龔O彥</v>
      </c>
      <c r="C951" s="9" t="str">
        <f>IFERROR(__xludf.DUMMYFUNCTION("""COMPUTED_VALUE"""),"s21*****stmail.hhsh.chc.edu.tw")</f>
        <v>s21*****stmail.hhsh.chc.edu.tw</v>
      </c>
      <c r="D951" s="9" t="str">
        <f>IFERROR(__xludf.DUMMYFUNCTION("""COMPUTED_VALUE"""),"國立溪湖高級中學")</f>
        <v>國立溪湖高級中學</v>
      </c>
      <c r="E951" s="9" t="str">
        <f>IFERROR(__xludf.DUMMYFUNCTION("""COMPUTED_VALUE"""),"普通科")</f>
        <v>普通科</v>
      </c>
      <c r="F951" s="9" t="str">
        <f>IFERROR(__xludf.DUMMYFUNCTION("""COMPUTED_VALUE"""),"二年級")</f>
        <v>二年級</v>
      </c>
      <c r="G951" s="10" t="str">
        <f>IFERROR(__xludf.DUMMYFUNCTION("""COMPUTED_VALUE"""),"獎狀")</f>
        <v>獎狀</v>
      </c>
      <c r="H951" s="11"/>
    </row>
    <row r="952">
      <c r="A952" s="5" t="s">
        <v>9</v>
      </c>
      <c r="B952" s="9" t="str">
        <f>IFERROR(__xludf.DUMMYFUNCTION("""COMPUTED_VALUE"""),"詹O全")</f>
        <v>詹O全</v>
      </c>
      <c r="C952" s="9" t="str">
        <f>IFERROR(__xludf.DUMMYFUNCTION("""COMPUTED_VALUE"""),"wel*****ng99@gmail.com")</f>
        <v>wel*****ng99@gmail.com</v>
      </c>
      <c r="D952" s="9" t="str">
        <f>IFERROR(__xludf.DUMMYFUNCTION("""COMPUTED_VALUE"""),"國立中興高級中學")</f>
        <v>國立中興高級中學</v>
      </c>
      <c r="E952" s="9" t="str">
        <f>IFERROR(__xludf.DUMMYFUNCTION("""COMPUTED_VALUE"""),"普通科")</f>
        <v>普通科</v>
      </c>
      <c r="F952" s="9" t="str">
        <f>IFERROR(__xludf.DUMMYFUNCTION("""COMPUTED_VALUE"""),"一年級")</f>
        <v>一年級</v>
      </c>
      <c r="G952" s="10" t="str">
        <f>IFERROR(__xludf.DUMMYFUNCTION("""COMPUTED_VALUE"""),"獎狀")</f>
        <v>獎狀</v>
      </c>
      <c r="H952" s="11"/>
    </row>
    <row r="953">
      <c r="A953" s="5" t="s">
        <v>9</v>
      </c>
      <c r="B953" s="9" t="str">
        <f>IFERROR(__xludf.DUMMYFUNCTION("""COMPUTED_VALUE"""),"張O慈")</f>
        <v>張O慈</v>
      </c>
      <c r="C953" s="9" t="str">
        <f>IFERROR(__xludf.DUMMYFUNCTION("""COMPUTED_VALUE"""),"s01*****@mail.edu.tw")</f>
        <v>s01*****@mail.edu.tw</v>
      </c>
      <c r="D953" s="9" t="str">
        <f>IFERROR(__xludf.DUMMYFUNCTION("""COMPUTED_VALUE"""),"國立中興高級中學")</f>
        <v>國立中興高級中學</v>
      </c>
      <c r="E953" s="9" t="str">
        <f>IFERROR(__xludf.DUMMYFUNCTION("""COMPUTED_VALUE"""),"普通科")</f>
        <v>普通科</v>
      </c>
      <c r="F953" s="9" t="str">
        <f>IFERROR(__xludf.DUMMYFUNCTION("""COMPUTED_VALUE"""),"二年級")</f>
        <v>二年級</v>
      </c>
      <c r="G953" s="10" t="str">
        <f>IFERROR(__xludf.DUMMYFUNCTION("""COMPUTED_VALUE"""),"獎狀")</f>
        <v>獎狀</v>
      </c>
      <c r="H953" s="9"/>
    </row>
    <row r="954">
      <c r="A954" s="5" t="s">
        <v>9</v>
      </c>
      <c r="B954" s="9" t="str">
        <f>IFERROR(__xludf.DUMMYFUNCTION("""COMPUTED_VALUE"""),"莊O榛")</f>
        <v>莊O榛</v>
      </c>
      <c r="C954" s="9" t="str">
        <f>IFERROR(__xludf.DUMMYFUNCTION("""COMPUTED_VALUE"""),"s01*****.19@gmail.com")</f>
        <v>s01*****.19@gmail.com</v>
      </c>
      <c r="D954" s="9" t="str">
        <f>IFERROR(__xludf.DUMMYFUNCTION("""COMPUTED_VALUE"""),"國立中興高級中學")</f>
        <v>國立中興高級中學</v>
      </c>
      <c r="E954" s="9" t="str">
        <f>IFERROR(__xludf.DUMMYFUNCTION("""COMPUTED_VALUE"""),"普通科")</f>
        <v>普通科</v>
      </c>
      <c r="F954" s="9" t="str">
        <f>IFERROR(__xludf.DUMMYFUNCTION("""COMPUTED_VALUE"""),"二年級")</f>
        <v>二年級</v>
      </c>
      <c r="G954" s="10" t="str">
        <f>IFERROR(__xludf.DUMMYFUNCTION("""COMPUTED_VALUE"""),"獎狀")</f>
        <v>獎狀</v>
      </c>
      <c r="H954" s="9"/>
    </row>
    <row r="955">
      <c r="A955" s="5" t="s">
        <v>9</v>
      </c>
      <c r="B955" s="9" t="str">
        <f>IFERROR(__xludf.DUMMYFUNCTION("""COMPUTED_VALUE"""),"李O瑋")</f>
        <v>李O瑋</v>
      </c>
      <c r="C955" s="9" t="str">
        <f>IFERROR(__xludf.DUMMYFUNCTION("""COMPUTED_VALUE"""),"jun*****1006@gmail.com")</f>
        <v>jun*****1006@gmail.com</v>
      </c>
      <c r="D955" s="9" t="str">
        <f>IFERROR(__xludf.DUMMYFUNCTION("""COMPUTED_VALUE"""),"國立中興高級中學")</f>
        <v>國立中興高級中學</v>
      </c>
      <c r="E955" s="9" t="str">
        <f>IFERROR(__xludf.DUMMYFUNCTION("""COMPUTED_VALUE"""),"普通科")</f>
        <v>普通科</v>
      </c>
      <c r="F955" s="9" t="str">
        <f>IFERROR(__xludf.DUMMYFUNCTION("""COMPUTED_VALUE"""),"二年級")</f>
        <v>二年級</v>
      </c>
      <c r="G955" s="10" t="str">
        <f>IFERROR(__xludf.DUMMYFUNCTION("""COMPUTED_VALUE"""),"獎狀")</f>
        <v>獎狀</v>
      </c>
      <c r="H955" s="9"/>
    </row>
    <row r="956">
      <c r="A956" s="5" t="s">
        <v>9</v>
      </c>
      <c r="B956" s="9" t="str">
        <f>IFERROR(__xludf.DUMMYFUNCTION("""COMPUTED_VALUE"""),"游O淇")</f>
        <v>游O淇</v>
      </c>
      <c r="C956" s="9" t="str">
        <f>IFERROR(__xludf.DUMMYFUNCTION("""COMPUTED_VALUE"""),"ali*****120@gmail.com")</f>
        <v>ali*****120@gmail.com</v>
      </c>
      <c r="D956" s="9" t="str">
        <f>IFERROR(__xludf.DUMMYFUNCTION("""COMPUTED_VALUE"""),"國立中興高級中學")</f>
        <v>國立中興高級中學</v>
      </c>
      <c r="E956" s="9" t="str">
        <f>IFERROR(__xludf.DUMMYFUNCTION("""COMPUTED_VALUE"""),"普通科")</f>
        <v>普通科</v>
      </c>
      <c r="F956" s="9" t="str">
        <f>IFERROR(__xludf.DUMMYFUNCTION("""COMPUTED_VALUE"""),"二年級")</f>
        <v>二年級</v>
      </c>
      <c r="G956" s="10" t="str">
        <f>IFERROR(__xludf.DUMMYFUNCTION("""COMPUTED_VALUE"""),"■商品卡$200")</f>
        <v>■商品卡$200</v>
      </c>
      <c r="H956" s="9"/>
    </row>
    <row r="957">
      <c r="A957" s="5" t="s">
        <v>9</v>
      </c>
      <c r="B957" s="9" t="str">
        <f>IFERROR(__xludf.DUMMYFUNCTION("""COMPUTED_VALUE"""),"劉O杅")</f>
        <v>劉O杅</v>
      </c>
      <c r="C957" s="9" t="str">
        <f>IFERROR(__xludf.DUMMYFUNCTION("""COMPUTED_VALUE"""),"liu*****0630@gmail.com")</f>
        <v>liu*****0630@gmail.com</v>
      </c>
      <c r="D957" s="9" t="str">
        <f>IFERROR(__xludf.DUMMYFUNCTION("""COMPUTED_VALUE"""),"國立中興高級中學")</f>
        <v>國立中興高級中學</v>
      </c>
      <c r="E957" s="9" t="str">
        <f>IFERROR(__xludf.DUMMYFUNCTION("""COMPUTED_VALUE"""),"普通科")</f>
        <v>普通科</v>
      </c>
      <c r="F957" s="9" t="str">
        <f>IFERROR(__xludf.DUMMYFUNCTION("""COMPUTED_VALUE"""),"二年級")</f>
        <v>二年級</v>
      </c>
      <c r="G957" s="10" t="str">
        <f>IFERROR(__xludf.DUMMYFUNCTION("""COMPUTED_VALUE"""),"獎狀")</f>
        <v>獎狀</v>
      </c>
      <c r="H957" s="9"/>
    </row>
    <row r="958">
      <c r="A958" s="5" t="s">
        <v>9</v>
      </c>
      <c r="B958" s="9" t="str">
        <f>IFERROR(__xludf.DUMMYFUNCTION("""COMPUTED_VALUE"""),"吳O秦")</f>
        <v>吳O秦</v>
      </c>
      <c r="C958" s="9" t="str">
        <f>IFERROR(__xludf.DUMMYFUNCTION("""COMPUTED_VALUE"""),"pol*****91207@gmail.com")</f>
        <v>pol*****91207@gmail.com</v>
      </c>
      <c r="D958" s="9" t="str">
        <f>IFERROR(__xludf.DUMMYFUNCTION("""COMPUTED_VALUE"""),"國立中興高級中學")</f>
        <v>國立中興高級中學</v>
      </c>
      <c r="E958" s="9" t="str">
        <f>IFERROR(__xludf.DUMMYFUNCTION("""COMPUTED_VALUE"""),"普通科")</f>
        <v>普通科</v>
      </c>
      <c r="F958" s="9" t="str">
        <f>IFERROR(__xludf.DUMMYFUNCTION("""COMPUTED_VALUE"""),"二年級")</f>
        <v>二年級</v>
      </c>
      <c r="G958" s="10" t="str">
        <f>IFERROR(__xludf.DUMMYFUNCTION("""COMPUTED_VALUE"""),"獎狀")</f>
        <v>獎狀</v>
      </c>
      <c r="H958" s="9"/>
    </row>
    <row r="959">
      <c r="A959" s="5" t="s">
        <v>9</v>
      </c>
      <c r="B959" s="9" t="str">
        <f>IFERROR(__xludf.DUMMYFUNCTION("""COMPUTED_VALUE"""),"李O潔")</f>
        <v>李O潔</v>
      </c>
      <c r="C959" s="9" t="str">
        <f>IFERROR(__xludf.DUMMYFUNCTION("""COMPUTED_VALUE"""),"st2*****@skjhs.ntct.edu.tw")</f>
        <v>st2*****@skjhs.ntct.edu.tw</v>
      </c>
      <c r="D959" s="9" t="str">
        <f>IFERROR(__xludf.DUMMYFUNCTION("""COMPUTED_VALUE"""),"南投縣立旭光高級中學")</f>
        <v>南投縣立旭光高級中學</v>
      </c>
      <c r="E959" s="9" t="str">
        <f>IFERROR(__xludf.DUMMYFUNCTION("""COMPUTED_VALUE"""),"普通科")</f>
        <v>普通科</v>
      </c>
      <c r="F959" s="9" t="str">
        <f>IFERROR(__xludf.DUMMYFUNCTION("""COMPUTED_VALUE"""),"二年級")</f>
        <v>二年級</v>
      </c>
      <c r="G959" s="10" t="str">
        <f>IFERROR(__xludf.DUMMYFUNCTION("""COMPUTED_VALUE"""),"獎狀")</f>
        <v>獎狀</v>
      </c>
      <c r="H959" s="9"/>
    </row>
    <row r="960">
      <c r="A960" s="5" t="s">
        <v>9</v>
      </c>
      <c r="B960" s="9" t="str">
        <f>IFERROR(__xludf.DUMMYFUNCTION("""COMPUTED_VALUE"""),"李O瑾")</f>
        <v>李O瑾</v>
      </c>
      <c r="C960" s="9" t="str">
        <f>IFERROR(__xludf.DUMMYFUNCTION("""COMPUTED_VALUE"""),"st2*****@skjhs.ntct.edu.tw")</f>
        <v>st2*****@skjhs.ntct.edu.tw</v>
      </c>
      <c r="D960" s="9" t="str">
        <f>IFERROR(__xludf.DUMMYFUNCTION("""COMPUTED_VALUE"""),"南投縣立旭光高級中學")</f>
        <v>南投縣立旭光高級中學</v>
      </c>
      <c r="E960" s="9" t="str">
        <f>IFERROR(__xludf.DUMMYFUNCTION("""COMPUTED_VALUE"""),"普通科")</f>
        <v>普通科</v>
      </c>
      <c r="F960" s="9" t="str">
        <f>IFERROR(__xludf.DUMMYFUNCTION("""COMPUTED_VALUE"""),"三年級")</f>
        <v>三年級</v>
      </c>
      <c r="G960" s="10" t="str">
        <f>IFERROR(__xludf.DUMMYFUNCTION("""COMPUTED_VALUE"""),"獎狀")</f>
        <v>獎狀</v>
      </c>
      <c r="H960" s="9"/>
    </row>
    <row r="961">
      <c r="A961" s="5" t="s">
        <v>9</v>
      </c>
      <c r="B961" s="9" t="str">
        <f>IFERROR(__xludf.DUMMYFUNCTION("""COMPUTED_VALUE"""),"洪O鎂")</f>
        <v>洪O鎂</v>
      </c>
      <c r="C961" s="9" t="str">
        <f>IFERROR(__xludf.DUMMYFUNCTION("""COMPUTED_VALUE"""),"st2*****@skjhs.ntct.edu.tw")</f>
        <v>st2*****@skjhs.ntct.edu.tw</v>
      </c>
      <c r="D961" s="9" t="str">
        <f>IFERROR(__xludf.DUMMYFUNCTION("""COMPUTED_VALUE"""),"南投縣立旭光高級中學")</f>
        <v>南投縣立旭光高級中學</v>
      </c>
      <c r="E961" s="9" t="str">
        <f>IFERROR(__xludf.DUMMYFUNCTION("""COMPUTED_VALUE"""),"普通科")</f>
        <v>普通科</v>
      </c>
      <c r="F961" s="9" t="str">
        <f>IFERROR(__xludf.DUMMYFUNCTION("""COMPUTED_VALUE"""),"三年級")</f>
        <v>三年級</v>
      </c>
      <c r="G961" s="10" t="str">
        <f>IFERROR(__xludf.DUMMYFUNCTION("""COMPUTED_VALUE"""),"獎狀")</f>
        <v>獎狀</v>
      </c>
      <c r="H961" s="9"/>
    </row>
    <row r="962">
      <c r="A962" s="5" t="s">
        <v>9</v>
      </c>
      <c r="B962" s="9" t="str">
        <f>IFERROR(__xludf.DUMMYFUNCTION("""COMPUTED_VALUE"""),"陳O安")</f>
        <v>陳O安</v>
      </c>
      <c r="C962" s="9" t="str">
        <f>IFERROR(__xludf.DUMMYFUNCTION("""COMPUTED_VALUE"""),"st2*****@skjhs.ntct.edu.tw")</f>
        <v>st2*****@skjhs.ntct.edu.tw</v>
      </c>
      <c r="D962" s="9" t="str">
        <f>IFERROR(__xludf.DUMMYFUNCTION("""COMPUTED_VALUE"""),"南投縣立旭光高級中學")</f>
        <v>南投縣立旭光高級中學</v>
      </c>
      <c r="E962" s="9" t="str">
        <f>IFERROR(__xludf.DUMMYFUNCTION("""COMPUTED_VALUE"""),"普通科")</f>
        <v>普通科</v>
      </c>
      <c r="F962" s="9" t="str">
        <f>IFERROR(__xludf.DUMMYFUNCTION("""COMPUTED_VALUE"""),"三年級")</f>
        <v>三年級</v>
      </c>
      <c r="G962" s="10" t="str">
        <f>IFERROR(__xludf.DUMMYFUNCTION("""COMPUTED_VALUE"""),"獎狀")</f>
        <v>獎狀</v>
      </c>
      <c r="H962" s="9"/>
    </row>
    <row r="963">
      <c r="A963" s="5" t="s">
        <v>9</v>
      </c>
      <c r="B963" s="9" t="str">
        <f>IFERROR(__xludf.DUMMYFUNCTION("""COMPUTED_VALUE"""),"簡O億")</f>
        <v>簡O億</v>
      </c>
      <c r="C963" s="9" t="str">
        <f>IFERROR(__xludf.DUMMYFUNCTION("""COMPUTED_VALUE"""),"st2*****@skjhs.ntct.edu.tw")</f>
        <v>st2*****@skjhs.ntct.edu.tw</v>
      </c>
      <c r="D963" s="9" t="str">
        <f>IFERROR(__xludf.DUMMYFUNCTION("""COMPUTED_VALUE"""),"南投縣立旭光高級中學")</f>
        <v>南投縣立旭光高級中學</v>
      </c>
      <c r="E963" s="9" t="str">
        <f>IFERROR(__xludf.DUMMYFUNCTION("""COMPUTED_VALUE"""),"普通科")</f>
        <v>普通科</v>
      </c>
      <c r="F963" s="9" t="str">
        <f>IFERROR(__xludf.DUMMYFUNCTION("""COMPUTED_VALUE"""),"三年級")</f>
        <v>三年級</v>
      </c>
      <c r="G963" s="10" t="str">
        <f>IFERROR(__xludf.DUMMYFUNCTION("""COMPUTED_VALUE"""),"獎狀")</f>
        <v>獎狀</v>
      </c>
      <c r="H963" s="9"/>
    </row>
    <row r="964">
      <c r="A964" s="5" t="s">
        <v>9</v>
      </c>
      <c r="B964" s="9" t="str">
        <f>IFERROR(__xludf.DUMMYFUNCTION("""COMPUTED_VALUE"""),"莊O盛")</f>
        <v>莊O盛</v>
      </c>
      <c r="C964" s="9" t="str">
        <f>IFERROR(__xludf.DUMMYFUNCTION("""COMPUTED_VALUE"""),"st2*****@skjhs.ntct.edu.tw")</f>
        <v>st2*****@skjhs.ntct.edu.tw</v>
      </c>
      <c r="D964" s="9" t="str">
        <f>IFERROR(__xludf.DUMMYFUNCTION("""COMPUTED_VALUE"""),"南投縣立旭光高級中學")</f>
        <v>南投縣立旭光高級中學</v>
      </c>
      <c r="E964" s="9" t="str">
        <f>IFERROR(__xludf.DUMMYFUNCTION("""COMPUTED_VALUE"""),"普通科")</f>
        <v>普通科</v>
      </c>
      <c r="F964" s="9" t="str">
        <f>IFERROR(__xludf.DUMMYFUNCTION("""COMPUTED_VALUE"""),"三年級")</f>
        <v>三年級</v>
      </c>
      <c r="G964" s="10" t="str">
        <f>IFERROR(__xludf.DUMMYFUNCTION("""COMPUTED_VALUE"""),"獎狀")</f>
        <v>獎狀</v>
      </c>
      <c r="H964" s="9"/>
    </row>
    <row r="965">
      <c r="A965" s="5" t="s">
        <v>9</v>
      </c>
      <c r="B965" s="9" t="str">
        <f>IFERROR(__xludf.DUMMYFUNCTION("""COMPUTED_VALUE"""),"李O峻")</f>
        <v>李O峻</v>
      </c>
      <c r="C965" s="9" t="str">
        <f>IFERROR(__xludf.DUMMYFUNCTION("""COMPUTED_VALUE"""),"st2*****@skjhs.ntct.edu.tw")</f>
        <v>st2*****@skjhs.ntct.edu.tw</v>
      </c>
      <c r="D965" s="9" t="str">
        <f>IFERROR(__xludf.DUMMYFUNCTION("""COMPUTED_VALUE"""),"南投縣立旭光高級中學")</f>
        <v>南投縣立旭光高級中學</v>
      </c>
      <c r="E965" s="9" t="str">
        <f>IFERROR(__xludf.DUMMYFUNCTION("""COMPUTED_VALUE"""),"普通科")</f>
        <v>普通科</v>
      </c>
      <c r="F965" s="9" t="str">
        <f>IFERROR(__xludf.DUMMYFUNCTION("""COMPUTED_VALUE"""),"三年級")</f>
        <v>三年級</v>
      </c>
      <c r="G965" s="10" t="str">
        <f>IFERROR(__xludf.DUMMYFUNCTION("""COMPUTED_VALUE"""),"獎狀")</f>
        <v>獎狀</v>
      </c>
      <c r="H965" s="9"/>
    </row>
    <row r="966">
      <c r="A966" s="5" t="s">
        <v>9</v>
      </c>
      <c r="B966" s="9" t="str">
        <f>IFERROR(__xludf.DUMMYFUNCTION("""COMPUTED_VALUE"""),"李O龍")</f>
        <v>李O龍</v>
      </c>
      <c r="C966" s="9" t="str">
        <f>IFERROR(__xludf.DUMMYFUNCTION("""COMPUTED_VALUE"""),"st2*****@skjhs.ntct.edu.tw")</f>
        <v>st2*****@skjhs.ntct.edu.tw</v>
      </c>
      <c r="D966" s="9" t="str">
        <f>IFERROR(__xludf.DUMMYFUNCTION("""COMPUTED_VALUE"""),"南投縣立旭光高級中學")</f>
        <v>南投縣立旭光高級中學</v>
      </c>
      <c r="E966" s="9" t="str">
        <f>IFERROR(__xludf.DUMMYFUNCTION("""COMPUTED_VALUE"""),"普通科")</f>
        <v>普通科</v>
      </c>
      <c r="F966" s="9" t="str">
        <f>IFERROR(__xludf.DUMMYFUNCTION("""COMPUTED_VALUE"""),"三年級")</f>
        <v>三年級</v>
      </c>
      <c r="G966" s="10" t="str">
        <f>IFERROR(__xludf.DUMMYFUNCTION("""COMPUTED_VALUE"""),"獎狀")</f>
        <v>獎狀</v>
      </c>
      <c r="H966" s="9"/>
    </row>
    <row r="967">
      <c r="A967" s="5" t="s">
        <v>9</v>
      </c>
      <c r="B967" s="9" t="str">
        <f>IFERROR(__xludf.DUMMYFUNCTION("""COMPUTED_VALUE"""),"張O翃")</f>
        <v>張O翃</v>
      </c>
      <c r="C967" s="9" t="str">
        <f>IFERROR(__xludf.DUMMYFUNCTION("""COMPUTED_VALUE"""),"310*****oog.ptsh.ntct.edu.tw")</f>
        <v>310*****oog.ptsh.ntct.edu.tw</v>
      </c>
      <c r="D967" s="9" t="str">
        <f>IFERROR(__xludf.DUMMYFUNCTION("""COMPUTED_VALUE"""),"南投縣私立普台高級中學")</f>
        <v>南投縣私立普台高級中學</v>
      </c>
      <c r="E967" s="9" t="str">
        <f>IFERROR(__xludf.DUMMYFUNCTION("""COMPUTED_VALUE"""),"普通科")</f>
        <v>普通科</v>
      </c>
      <c r="F967" s="9" t="str">
        <f>IFERROR(__xludf.DUMMYFUNCTION("""COMPUTED_VALUE"""),"一年級")</f>
        <v>一年級</v>
      </c>
      <c r="G967" s="10" t="str">
        <f>IFERROR(__xludf.DUMMYFUNCTION("""COMPUTED_VALUE"""),"獎狀")</f>
        <v>獎狀</v>
      </c>
      <c r="H967" s="9"/>
    </row>
    <row r="968">
      <c r="A968" s="5" t="s">
        <v>9</v>
      </c>
      <c r="B968" s="9" t="str">
        <f>IFERROR(__xludf.DUMMYFUNCTION("""COMPUTED_VALUE"""),"蔡O庭")</f>
        <v>蔡O庭</v>
      </c>
      <c r="C968" s="9" t="str">
        <f>IFERROR(__xludf.DUMMYFUNCTION("""COMPUTED_VALUE"""),"310*****oog.ptsh.ntct.edu.tw")</f>
        <v>310*****oog.ptsh.ntct.edu.tw</v>
      </c>
      <c r="D968" s="9" t="str">
        <f>IFERROR(__xludf.DUMMYFUNCTION("""COMPUTED_VALUE"""),"南投縣私立普台高級中學")</f>
        <v>南投縣私立普台高級中學</v>
      </c>
      <c r="E968" s="9" t="str">
        <f>IFERROR(__xludf.DUMMYFUNCTION("""COMPUTED_VALUE"""),"普通科")</f>
        <v>普通科</v>
      </c>
      <c r="F968" s="9" t="str">
        <f>IFERROR(__xludf.DUMMYFUNCTION("""COMPUTED_VALUE"""),"二年級")</f>
        <v>二年級</v>
      </c>
      <c r="G968" s="10" t="str">
        <f>IFERROR(__xludf.DUMMYFUNCTION("""COMPUTED_VALUE"""),"獎狀")</f>
        <v>獎狀</v>
      </c>
      <c r="H968" s="9"/>
    </row>
    <row r="969">
      <c r="A969" s="5" t="s">
        <v>9</v>
      </c>
      <c r="B969" s="9" t="str">
        <f>IFERROR(__xludf.DUMMYFUNCTION("""COMPUTED_VALUE"""),"蔡O芳")</f>
        <v>蔡O芳</v>
      </c>
      <c r="C969" s="9" t="str">
        <f>IFERROR(__xludf.DUMMYFUNCTION("""COMPUTED_VALUE"""),"310*****oog.ptsh.ntct.edu.tw")</f>
        <v>310*****oog.ptsh.ntct.edu.tw</v>
      </c>
      <c r="D969" s="9" t="str">
        <f>IFERROR(__xludf.DUMMYFUNCTION("""COMPUTED_VALUE"""),"南投縣私立普台高級中學")</f>
        <v>南投縣私立普台高級中學</v>
      </c>
      <c r="E969" s="9" t="str">
        <f>IFERROR(__xludf.DUMMYFUNCTION("""COMPUTED_VALUE"""),"普通科")</f>
        <v>普通科</v>
      </c>
      <c r="F969" s="9" t="str">
        <f>IFERROR(__xludf.DUMMYFUNCTION("""COMPUTED_VALUE"""),"二年級")</f>
        <v>二年級</v>
      </c>
      <c r="G969" s="10" t="str">
        <f>IFERROR(__xludf.DUMMYFUNCTION("""COMPUTED_VALUE"""),"獎狀")</f>
        <v>獎狀</v>
      </c>
      <c r="H969" s="9"/>
    </row>
    <row r="970">
      <c r="A970" s="5" t="s">
        <v>9</v>
      </c>
      <c r="B970" s="9" t="str">
        <f>IFERROR(__xludf.DUMMYFUNCTION("""COMPUTED_VALUE"""),"張O豪")</f>
        <v>張O豪</v>
      </c>
      <c r="C970" s="9" t="str">
        <f>IFERROR(__xludf.DUMMYFUNCTION("""COMPUTED_VALUE"""),"s31*****pshs.ntct.edu.tw")</f>
        <v>s31*****pshs.ntct.edu.tw</v>
      </c>
      <c r="D970" s="9" t="str">
        <f>IFERROR(__xludf.DUMMYFUNCTION("""COMPUTED_VALUE"""),"國立暨南國際大學附屬高級中學")</f>
        <v>國立暨南國際大學附屬高級中學</v>
      </c>
      <c r="E970" s="9" t="str">
        <f>IFERROR(__xludf.DUMMYFUNCTION("""COMPUTED_VALUE"""),"普通科")</f>
        <v>普通科</v>
      </c>
      <c r="F970" s="9" t="str">
        <f>IFERROR(__xludf.DUMMYFUNCTION("""COMPUTED_VALUE"""),"二年級")</f>
        <v>二年級</v>
      </c>
      <c r="G970" s="10" t="str">
        <f>IFERROR(__xludf.DUMMYFUNCTION("""COMPUTED_VALUE"""),"獎狀")</f>
        <v>獎狀</v>
      </c>
      <c r="H970" s="9"/>
    </row>
    <row r="971">
      <c r="A971" s="5" t="s">
        <v>9</v>
      </c>
      <c r="B971" s="9" t="str">
        <f>IFERROR(__xludf.DUMMYFUNCTION("""COMPUTED_VALUE"""),"詹O安")</f>
        <v>詹O安</v>
      </c>
      <c r="C971" s="9" t="str">
        <f>IFERROR(__xludf.DUMMYFUNCTION("""COMPUTED_VALUE"""),"s31*****pshs.ntct.edu.tw")</f>
        <v>s31*****pshs.ntct.edu.tw</v>
      </c>
      <c r="D971" s="9" t="str">
        <f>IFERROR(__xludf.DUMMYFUNCTION("""COMPUTED_VALUE"""),"國立暨南國際大學附屬高級中學")</f>
        <v>國立暨南國際大學附屬高級中學</v>
      </c>
      <c r="E971" s="9" t="str">
        <f>IFERROR(__xludf.DUMMYFUNCTION("""COMPUTED_VALUE"""),"普通科")</f>
        <v>普通科</v>
      </c>
      <c r="F971" s="9" t="str">
        <f>IFERROR(__xludf.DUMMYFUNCTION("""COMPUTED_VALUE"""),"二年級")</f>
        <v>二年級</v>
      </c>
      <c r="G971" s="10" t="str">
        <f>IFERROR(__xludf.DUMMYFUNCTION("""COMPUTED_VALUE"""),"獎狀")</f>
        <v>獎狀</v>
      </c>
      <c r="H971" s="9"/>
    </row>
    <row r="972">
      <c r="A972" s="5" t="s">
        <v>9</v>
      </c>
      <c r="B972" s="9" t="str">
        <f>IFERROR(__xludf.DUMMYFUNCTION("""COMPUTED_VALUE"""),"林O慈")</f>
        <v>林O慈</v>
      </c>
      <c r="C972" s="9" t="str">
        <f>IFERROR(__xludf.DUMMYFUNCTION("""COMPUTED_VALUE"""),"s31*****stu.cshs.ntct.edu.tw")</f>
        <v>s31*****stu.cshs.ntct.edu.tw</v>
      </c>
      <c r="D972" s="9" t="str">
        <f>IFERROR(__xludf.DUMMYFUNCTION("""COMPUTED_VALUE"""),"國立竹山高級中學")</f>
        <v>國立竹山高級中學</v>
      </c>
      <c r="E972" s="9" t="str">
        <f>IFERROR(__xludf.DUMMYFUNCTION("""COMPUTED_VALUE"""),"普通科")</f>
        <v>普通科</v>
      </c>
      <c r="F972" s="9" t="str">
        <f>IFERROR(__xludf.DUMMYFUNCTION("""COMPUTED_VALUE"""),"一年級")</f>
        <v>一年級</v>
      </c>
      <c r="G972" s="10" t="str">
        <f>IFERROR(__xludf.DUMMYFUNCTION("""COMPUTED_VALUE"""),"獎狀")</f>
        <v>獎狀</v>
      </c>
      <c r="H972" s="9"/>
    </row>
    <row r="973">
      <c r="A973" s="5" t="s">
        <v>9</v>
      </c>
      <c r="B973" s="9" t="str">
        <f>IFERROR(__xludf.DUMMYFUNCTION("""COMPUTED_VALUE"""),"吳O嬡")</f>
        <v>吳O嬡</v>
      </c>
      <c r="C973" s="9" t="str">
        <f>IFERROR(__xludf.DUMMYFUNCTION("""COMPUTED_VALUE"""),"ywu*****1@gmail.com")</f>
        <v>ywu*****1@gmail.com</v>
      </c>
      <c r="D973" s="9" t="str">
        <f>IFERROR(__xludf.DUMMYFUNCTION("""COMPUTED_VALUE"""),"國立嘉義女子高級中學")</f>
        <v>國立嘉義女子高級中學</v>
      </c>
      <c r="E973" s="9" t="str">
        <f>IFERROR(__xludf.DUMMYFUNCTION("""COMPUTED_VALUE"""),"普通科")</f>
        <v>普通科</v>
      </c>
      <c r="F973" s="9" t="str">
        <f>IFERROR(__xludf.DUMMYFUNCTION("""COMPUTED_VALUE"""),"二年級")</f>
        <v>二年級</v>
      </c>
      <c r="G973" s="10" t="str">
        <f>IFERROR(__xludf.DUMMYFUNCTION("""COMPUTED_VALUE"""),"獎狀")</f>
        <v>獎狀</v>
      </c>
      <c r="H973" s="9"/>
    </row>
    <row r="974">
      <c r="A974" s="5" t="s">
        <v>9</v>
      </c>
      <c r="B974" s="9" t="str">
        <f>IFERROR(__xludf.DUMMYFUNCTION("""COMPUTED_VALUE"""),"許O語")</f>
        <v>許O語</v>
      </c>
      <c r="C974" s="9" t="str">
        <f>IFERROR(__xludf.DUMMYFUNCTION("""COMPUTED_VALUE"""),"son*****24@gmail.com")</f>
        <v>son*****24@gmail.com</v>
      </c>
      <c r="D974" s="9" t="str">
        <f>IFERROR(__xludf.DUMMYFUNCTION("""COMPUTED_VALUE"""),"國立嘉義女子高級中學")</f>
        <v>國立嘉義女子高級中學</v>
      </c>
      <c r="E974" s="9" t="str">
        <f>IFERROR(__xludf.DUMMYFUNCTION("""COMPUTED_VALUE"""),"普通科")</f>
        <v>普通科</v>
      </c>
      <c r="F974" s="9" t="str">
        <f>IFERROR(__xludf.DUMMYFUNCTION("""COMPUTED_VALUE"""),"二年級")</f>
        <v>二年級</v>
      </c>
      <c r="G974" s="10" t="str">
        <f>IFERROR(__xludf.DUMMYFUNCTION("""COMPUTED_VALUE"""),"獎狀")</f>
        <v>獎狀</v>
      </c>
      <c r="H974" s="9"/>
    </row>
    <row r="975">
      <c r="A975" s="5" t="s">
        <v>9</v>
      </c>
      <c r="B975" s="9" t="str">
        <f>IFERROR(__xludf.DUMMYFUNCTION("""COMPUTED_VALUE"""),"丁O如")</f>
        <v>丁O如</v>
      </c>
      <c r="C975" s="9" t="str">
        <f>IFERROR(__xludf.DUMMYFUNCTION("""COMPUTED_VALUE"""),"210*****tudent.cygsh.cy.edu.tw")</f>
        <v>210*****tudent.cygsh.cy.edu.tw</v>
      </c>
      <c r="D975" s="9" t="str">
        <f>IFERROR(__xludf.DUMMYFUNCTION("""COMPUTED_VALUE"""),"國立嘉義女子高級中學")</f>
        <v>國立嘉義女子高級中學</v>
      </c>
      <c r="E975" s="9" t="str">
        <f>IFERROR(__xludf.DUMMYFUNCTION("""COMPUTED_VALUE"""),"普通科")</f>
        <v>普通科</v>
      </c>
      <c r="F975" s="9" t="str">
        <f>IFERROR(__xludf.DUMMYFUNCTION("""COMPUTED_VALUE"""),"二年級")</f>
        <v>二年級</v>
      </c>
      <c r="G975" s="10" t="str">
        <f>IFERROR(__xludf.DUMMYFUNCTION("""COMPUTED_VALUE"""),"獎狀")</f>
        <v>獎狀</v>
      </c>
      <c r="H975" s="9"/>
    </row>
    <row r="976">
      <c r="A976" s="5" t="s">
        <v>9</v>
      </c>
      <c r="B976" s="9" t="str">
        <f>IFERROR(__xludf.DUMMYFUNCTION("""COMPUTED_VALUE"""),"楊O恩")</f>
        <v>楊O恩</v>
      </c>
      <c r="C976" s="9" t="str">
        <f>IFERROR(__xludf.DUMMYFUNCTION("""COMPUTED_VALUE"""),"210*****tudent.cygsh.cy.edu.tw")</f>
        <v>210*****tudent.cygsh.cy.edu.tw</v>
      </c>
      <c r="D976" s="9" t="str">
        <f>IFERROR(__xludf.DUMMYFUNCTION("""COMPUTED_VALUE"""),"國立嘉義女子高級中學")</f>
        <v>國立嘉義女子高級中學</v>
      </c>
      <c r="E976" s="9" t="str">
        <f>IFERROR(__xludf.DUMMYFUNCTION("""COMPUTED_VALUE"""),"普通科")</f>
        <v>普通科</v>
      </c>
      <c r="F976" s="9" t="str">
        <f>IFERROR(__xludf.DUMMYFUNCTION("""COMPUTED_VALUE"""),"二年級")</f>
        <v>二年級</v>
      </c>
      <c r="G976" s="10" t="str">
        <f>IFERROR(__xludf.DUMMYFUNCTION("""COMPUTED_VALUE"""),"○商品卡$500")</f>
        <v>○商品卡$500</v>
      </c>
      <c r="H976" s="9"/>
    </row>
    <row r="977">
      <c r="A977" s="5" t="s">
        <v>9</v>
      </c>
      <c r="B977" s="9" t="str">
        <f>IFERROR(__xludf.DUMMYFUNCTION("""COMPUTED_VALUE"""),"黃O昕")</f>
        <v>黃O昕</v>
      </c>
      <c r="C977" s="9" t="str">
        <f>IFERROR(__xludf.DUMMYFUNCTION("""COMPUTED_VALUE"""),"210*****tudent.cygsh.cy.edu.tw")</f>
        <v>210*****tudent.cygsh.cy.edu.tw</v>
      </c>
      <c r="D977" s="9" t="str">
        <f>IFERROR(__xludf.DUMMYFUNCTION("""COMPUTED_VALUE"""),"國立嘉義女子高級中學")</f>
        <v>國立嘉義女子高級中學</v>
      </c>
      <c r="E977" s="9" t="str">
        <f>IFERROR(__xludf.DUMMYFUNCTION("""COMPUTED_VALUE"""),"普通科")</f>
        <v>普通科</v>
      </c>
      <c r="F977" s="9" t="str">
        <f>IFERROR(__xludf.DUMMYFUNCTION("""COMPUTED_VALUE"""),"二年級")</f>
        <v>二年級</v>
      </c>
      <c r="G977" s="10" t="str">
        <f>IFERROR(__xludf.DUMMYFUNCTION("""COMPUTED_VALUE"""),"獎狀")</f>
        <v>獎狀</v>
      </c>
      <c r="H977" s="9"/>
    </row>
    <row r="978">
      <c r="A978" s="5" t="s">
        <v>9</v>
      </c>
      <c r="B978" s="9" t="str">
        <f>IFERROR(__xludf.DUMMYFUNCTION("""COMPUTED_VALUE"""),"萬O言")</f>
        <v>萬O言</v>
      </c>
      <c r="C978" s="9" t="str">
        <f>IFERROR(__xludf.DUMMYFUNCTION("""COMPUTED_VALUE"""),"210*****tudent.cygsh.cy.edu.tw")</f>
        <v>210*****tudent.cygsh.cy.edu.tw</v>
      </c>
      <c r="D978" s="9" t="str">
        <f>IFERROR(__xludf.DUMMYFUNCTION("""COMPUTED_VALUE"""),"國立嘉義女子高級中學")</f>
        <v>國立嘉義女子高級中學</v>
      </c>
      <c r="E978" s="9" t="str">
        <f>IFERROR(__xludf.DUMMYFUNCTION("""COMPUTED_VALUE"""),"普通科")</f>
        <v>普通科</v>
      </c>
      <c r="F978" s="9" t="str">
        <f>IFERROR(__xludf.DUMMYFUNCTION("""COMPUTED_VALUE"""),"二年級")</f>
        <v>二年級</v>
      </c>
      <c r="G978" s="10" t="str">
        <f>IFERROR(__xludf.DUMMYFUNCTION("""COMPUTED_VALUE"""),"獎狀")</f>
        <v>獎狀</v>
      </c>
      <c r="H978" s="9"/>
    </row>
    <row r="979">
      <c r="A979" s="5" t="s">
        <v>9</v>
      </c>
      <c r="B979" s="9" t="str">
        <f>IFERROR(__xludf.DUMMYFUNCTION("""COMPUTED_VALUE"""),"羅O旻")</f>
        <v>羅O旻</v>
      </c>
      <c r="C979" s="9" t="str">
        <f>IFERROR(__xludf.DUMMYFUNCTION("""COMPUTED_VALUE"""),"yim*****44@gmail.com")</f>
        <v>yim*****44@gmail.com</v>
      </c>
      <c r="D979" s="9" t="str">
        <f>IFERROR(__xludf.DUMMYFUNCTION("""COMPUTED_VALUE"""),"國立嘉義女子高級中學")</f>
        <v>國立嘉義女子高級中學</v>
      </c>
      <c r="E979" s="9" t="str">
        <f>IFERROR(__xludf.DUMMYFUNCTION("""COMPUTED_VALUE"""),"普通科")</f>
        <v>普通科</v>
      </c>
      <c r="F979" s="9" t="str">
        <f>IFERROR(__xludf.DUMMYFUNCTION("""COMPUTED_VALUE"""),"二年級")</f>
        <v>二年級</v>
      </c>
      <c r="G979" s="10" t="str">
        <f>IFERROR(__xludf.DUMMYFUNCTION("""COMPUTED_VALUE"""),"獎狀")</f>
        <v>獎狀</v>
      </c>
      <c r="H979" s="9"/>
    </row>
    <row r="980">
      <c r="A980" s="5" t="s">
        <v>9</v>
      </c>
      <c r="B980" s="9" t="str">
        <f>IFERROR(__xludf.DUMMYFUNCTION("""COMPUTED_VALUE"""),"王O婷")</f>
        <v>王O婷</v>
      </c>
      <c r="C980" s="9" t="str">
        <f>IFERROR(__xludf.DUMMYFUNCTION("""COMPUTED_VALUE"""),"wan*****7@gmail.com")</f>
        <v>wan*****7@gmail.com</v>
      </c>
      <c r="D980" s="9" t="str">
        <f>IFERROR(__xludf.DUMMYFUNCTION("""COMPUTED_VALUE"""),"國立嘉義女子高級中學")</f>
        <v>國立嘉義女子高級中學</v>
      </c>
      <c r="E980" s="9" t="str">
        <f>IFERROR(__xludf.DUMMYFUNCTION("""COMPUTED_VALUE"""),"普通科")</f>
        <v>普通科</v>
      </c>
      <c r="F980" s="9" t="str">
        <f>IFERROR(__xludf.DUMMYFUNCTION("""COMPUTED_VALUE"""),"二年級")</f>
        <v>二年級</v>
      </c>
      <c r="G980" s="10" t="str">
        <f>IFERROR(__xludf.DUMMYFUNCTION("""COMPUTED_VALUE"""),"獎狀")</f>
        <v>獎狀</v>
      </c>
      <c r="H980" s="9"/>
    </row>
    <row r="981">
      <c r="A981" s="5" t="s">
        <v>9</v>
      </c>
      <c r="B981" s="9" t="str">
        <f>IFERROR(__xludf.DUMMYFUNCTION("""COMPUTED_VALUE"""),"劉O妤")</f>
        <v>劉O妤</v>
      </c>
      <c r="C981" s="9" t="str">
        <f>IFERROR(__xludf.DUMMYFUNCTION("""COMPUTED_VALUE"""),"ann*****2008@gmail.com")</f>
        <v>ann*****2008@gmail.com</v>
      </c>
      <c r="D981" s="9" t="str">
        <f>IFERROR(__xludf.DUMMYFUNCTION("""COMPUTED_VALUE"""),"國立嘉義女子高級中學")</f>
        <v>國立嘉義女子高級中學</v>
      </c>
      <c r="E981" s="9" t="str">
        <f>IFERROR(__xludf.DUMMYFUNCTION("""COMPUTED_VALUE"""),"普通科")</f>
        <v>普通科</v>
      </c>
      <c r="F981" s="9" t="str">
        <f>IFERROR(__xludf.DUMMYFUNCTION("""COMPUTED_VALUE"""),"二年級")</f>
        <v>二年級</v>
      </c>
      <c r="G981" s="10" t="str">
        <f>IFERROR(__xludf.DUMMYFUNCTION("""COMPUTED_VALUE"""),"獎狀")</f>
        <v>獎狀</v>
      </c>
      <c r="H981" s="9"/>
    </row>
    <row r="982">
      <c r="A982" s="5" t="s">
        <v>9</v>
      </c>
      <c r="B982" s="9" t="str">
        <f>IFERROR(__xludf.DUMMYFUNCTION("""COMPUTED_VALUE"""),"黃O睿")</f>
        <v>黃O睿</v>
      </c>
      <c r="C982" s="9" t="str">
        <f>IFERROR(__xludf.DUMMYFUNCTION("""COMPUTED_VALUE"""),"cla*****273@gmail.com")</f>
        <v>cla*****273@gmail.com</v>
      </c>
      <c r="D982" s="9" t="str">
        <f>IFERROR(__xludf.DUMMYFUNCTION("""COMPUTED_VALUE"""),"國立嘉義女子高級中學")</f>
        <v>國立嘉義女子高級中學</v>
      </c>
      <c r="E982" s="9" t="str">
        <f>IFERROR(__xludf.DUMMYFUNCTION("""COMPUTED_VALUE"""),"普通科")</f>
        <v>普通科</v>
      </c>
      <c r="F982" s="9" t="str">
        <f>IFERROR(__xludf.DUMMYFUNCTION("""COMPUTED_VALUE"""),"三年級")</f>
        <v>三年級</v>
      </c>
      <c r="G982" s="10" t="str">
        <f>IFERROR(__xludf.DUMMYFUNCTION("""COMPUTED_VALUE"""),"獎狀")</f>
        <v>獎狀</v>
      </c>
      <c r="H982" s="9"/>
    </row>
    <row r="983">
      <c r="A983" s="5" t="s">
        <v>9</v>
      </c>
      <c r="B983" s="9" t="str">
        <f>IFERROR(__xludf.DUMMYFUNCTION("""COMPUTED_VALUE"""),"陳O欣")</f>
        <v>陳O欣</v>
      </c>
      <c r="C983" s="9" t="str">
        <f>IFERROR(__xludf.DUMMYFUNCTION("""COMPUTED_VALUE"""),"210*****tudent.cygsh.cy.edu.tw")</f>
        <v>210*****tudent.cygsh.cy.edu.tw</v>
      </c>
      <c r="D983" s="9" t="str">
        <f>IFERROR(__xludf.DUMMYFUNCTION("""COMPUTED_VALUE"""),"國立嘉義女子高級中學")</f>
        <v>國立嘉義女子高級中學</v>
      </c>
      <c r="E983" s="9" t="str">
        <f>IFERROR(__xludf.DUMMYFUNCTION("""COMPUTED_VALUE"""),"普通科")</f>
        <v>普通科</v>
      </c>
      <c r="F983" s="9" t="str">
        <f>IFERROR(__xludf.DUMMYFUNCTION("""COMPUTED_VALUE"""),"三年級")</f>
        <v>三年級</v>
      </c>
      <c r="G983" s="10" t="str">
        <f>IFERROR(__xludf.DUMMYFUNCTION("""COMPUTED_VALUE"""),"獎狀")</f>
        <v>獎狀</v>
      </c>
      <c r="H983" s="9"/>
    </row>
    <row r="984">
      <c r="A984" s="5" t="s">
        <v>9</v>
      </c>
      <c r="B984" s="9" t="str">
        <f>IFERROR(__xludf.DUMMYFUNCTION("""COMPUTED_VALUE"""),"郭O茵")</f>
        <v>郭O茵</v>
      </c>
      <c r="C984" s="9" t="str">
        <f>IFERROR(__xludf.DUMMYFUNCTION("""COMPUTED_VALUE"""),"yam*****02@gmail.com")</f>
        <v>yam*****02@gmail.com</v>
      </c>
      <c r="D984" s="9" t="str">
        <f>IFERROR(__xludf.DUMMYFUNCTION("""COMPUTED_VALUE"""),"國立嘉義女子高級中學")</f>
        <v>國立嘉義女子高級中學</v>
      </c>
      <c r="E984" s="9" t="str">
        <f>IFERROR(__xludf.DUMMYFUNCTION("""COMPUTED_VALUE"""),"普通科")</f>
        <v>普通科</v>
      </c>
      <c r="F984" s="9" t="str">
        <f>IFERROR(__xludf.DUMMYFUNCTION("""COMPUTED_VALUE"""),"三年級")</f>
        <v>三年級</v>
      </c>
      <c r="G984" s="10" t="str">
        <f>IFERROR(__xludf.DUMMYFUNCTION("""COMPUTED_VALUE"""),"獎狀")</f>
        <v>獎狀</v>
      </c>
      <c r="H984" s="9"/>
    </row>
    <row r="985">
      <c r="A985" s="5" t="s">
        <v>9</v>
      </c>
      <c r="B985" s="9" t="str">
        <f>IFERROR(__xludf.DUMMYFUNCTION("""COMPUTED_VALUE"""),"侯O純")</f>
        <v>侯O純</v>
      </c>
      <c r="C985" s="9" t="str">
        <f>IFERROR(__xludf.DUMMYFUNCTION("""COMPUTED_VALUE"""),"210*****tudent.cygsh.cy.edu.tw")</f>
        <v>210*****tudent.cygsh.cy.edu.tw</v>
      </c>
      <c r="D985" s="9" t="str">
        <f>IFERROR(__xludf.DUMMYFUNCTION("""COMPUTED_VALUE"""),"國立嘉義女子高級中學")</f>
        <v>國立嘉義女子高級中學</v>
      </c>
      <c r="E985" s="9" t="str">
        <f>IFERROR(__xludf.DUMMYFUNCTION("""COMPUTED_VALUE"""),"普通科")</f>
        <v>普通科</v>
      </c>
      <c r="F985" s="9" t="str">
        <f>IFERROR(__xludf.DUMMYFUNCTION("""COMPUTED_VALUE"""),"三年級")</f>
        <v>三年級</v>
      </c>
      <c r="G985" s="10" t="str">
        <f>IFERROR(__xludf.DUMMYFUNCTION("""COMPUTED_VALUE"""),"獎狀")</f>
        <v>獎狀</v>
      </c>
      <c r="H985" s="9"/>
    </row>
    <row r="986">
      <c r="A986" s="5" t="s">
        <v>9</v>
      </c>
      <c r="B986" s="9" t="str">
        <f>IFERROR(__xludf.DUMMYFUNCTION("""COMPUTED_VALUE"""),"張O瑜")</f>
        <v>張O瑜</v>
      </c>
      <c r="C986" s="9" t="str">
        <f>IFERROR(__xludf.DUMMYFUNCTION("""COMPUTED_VALUE"""),"210*****tudent.cygsh.cy.edu.tw")</f>
        <v>210*****tudent.cygsh.cy.edu.tw</v>
      </c>
      <c r="D986" s="9" t="str">
        <f>IFERROR(__xludf.DUMMYFUNCTION("""COMPUTED_VALUE"""),"國立嘉義女子高級中學")</f>
        <v>國立嘉義女子高級中學</v>
      </c>
      <c r="E986" s="9" t="str">
        <f>IFERROR(__xludf.DUMMYFUNCTION("""COMPUTED_VALUE"""),"普通科")</f>
        <v>普通科</v>
      </c>
      <c r="F986" s="9" t="str">
        <f>IFERROR(__xludf.DUMMYFUNCTION("""COMPUTED_VALUE"""),"三年級")</f>
        <v>三年級</v>
      </c>
      <c r="G986" s="10" t="str">
        <f>IFERROR(__xludf.DUMMYFUNCTION("""COMPUTED_VALUE"""),"獎狀")</f>
        <v>獎狀</v>
      </c>
      <c r="H986" s="9"/>
    </row>
    <row r="987">
      <c r="A987" s="5" t="s">
        <v>9</v>
      </c>
      <c r="B987" s="9" t="str">
        <f>IFERROR(__xludf.DUMMYFUNCTION("""COMPUTED_VALUE"""),"張O甄")</f>
        <v>張O甄</v>
      </c>
      <c r="C987" s="9" t="str">
        <f>IFERROR(__xludf.DUMMYFUNCTION("""COMPUTED_VALUE"""),"210*****tudent.cygsh.cy.edu.tw")</f>
        <v>210*****tudent.cygsh.cy.edu.tw</v>
      </c>
      <c r="D987" s="9" t="str">
        <f>IFERROR(__xludf.DUMMYFUNCTION("""COMPUTED_VALUE"""),"國立嘉義女子高級中學")</f>
        <v>國立嘉義女子高級中學</v>
      </c>
      <c r="E987" s="9" t="str">
        <f>IFERROR(__xludf.DUMMYFUNCTION("""COMPUTED_VALUE"""),"普通科")</f>
        <v>普通科</v>
      </c>
      <c r="F987" s="9" t="str">
        <f>IFERROR(__xludf.DUMMYFUNCTION("""COMPUTED_VALUE"""),"三年級")</f>
        <v>三年級</v>
      </c>
      <c r="G987" s="10" t="str">
        <f>IFERROR(__xludf.DUMMYFUNCTION("""COMPUTED_VALUE"""),"★商品卡$1000")</f>
        <v>★商品卡$1000</v>
      </c>
      <c r="H987" s="9"/>
    </row>
    <row r="988">
      <c r="A988" s="5" t="s">
        <v>9</v>
      </c>
      <c r="B988" s="9" t="str">
        <f>IFERROR(__xludf.DUMMYFUNCTION("""COMPUTED_VALUE"""),"陳O妍")</f>
        <v>陳O妍</v>
      </c>
      <c r="C988" s="9" t="str">
        <f>IFERROR(__xludf.DUMMYFUNCTION("""COMPUTED_VALUE"""),"210*****tudent.cygsh.cy.edu.tw")</f>
        <v>210*****tudent.cygsh.cy.edu.tw</v>
      </c>
      <c r="D988" s="9" t="str">
        <f>IFERROR(__xludf.DUMMYFUNCTION("""COMPUTED_VALUE"""),"國立嘉義女子高級中學")</f>
        <v>國立嘉義女子高級中學</v>
      </c>
      <c r="E988" s="9" t="str">
        <f>IFERROR(__xludf.DUMMYFUNCTION("""COMPUTED_VALUE"""),"普通科")</f>
        <v>普通科</v>
      </c>
      <c r="F988" s="9" t="str">
        <f>IFERROR(__xludf.DUMMYFUNCTION("""COMPUTED_VALUE"""),"三年級")</f>
        <v>三年級</v>
      </c>
      <c r="G988" s="10" t="str">
        <f>IFERROR(__xludf.DUMMYFUNCTION("""COMPUTED_VALUE"""),"獎狀")</f>
        <v>獎狀</v>
      </c>
      <c r="H988" s="9"/>
    </row>
    <row r="989">
      <c r="A989" s="5" t="s">
        <v>9</v>
      </c>
      <c r="B989" s="9" t="str">
        <f>IFERROR(__xludf.DUMMYFUNCTION("""COMPUTED_VALUE"""),"王O婷")</f>
        <v>王O婷</v>
      </c>
      <c r="C989" s="9" t="str">
        <f>IFERROR(__xludf.DUMMYFUNCTION("""COMPUTED_VALUE"""),"210*****tudent.cygsh.cy.edu.tw")</f>
        <v>210*****tudent.cygsh.cy.edu.tw</v>
      </c>
      <c r="D989" s="9" t="str">
        <f>IFERROR(__xludf.DUMMYFUNCTION("""COMPUTED_VALUE"""),"國立嘉義女子高級中學")</f>
        <v>國立嘉義女子高級中學</v>
      </c>
      <c r="E989" s="9" t="str">
        <f>IFERROR(__xludf.DUMMYFUNCTION("""COMPUTED_VALUE"""),"普通科")</f>
        <v>普通科</v>
      </c>
      <c r="F989" s="9" t="str">
        <f>IFERROR(__xludf.DUMMYFUNCTION("""COMPUTED_VALUE"""),"三年級")</f>
        <v>三年級</v>
      </c>
      <c r="G989" s="10" t="str">
        <f>IFERROR(__xludf.DUMMYFUNCTION("""COMPUTED_VALUE"""),"獎狀")</f>
        <v>獎狀</v>
      </c>
      <c r="H989" s="11"/>
    </row>
    <row r="990">
      <c r="A990" s="5" t="s">
        <v>9</v>
      </c>
      <c r="B990" s="9" t="str">
        <f>IFERROR(__xludf.DUMMYFUNCTION("""COMPUTED_VALUE"""),"劉O均")</f>
        <v>劉O均</v>
      </c>
      <c r="C990" s="9" t="str">
        <f>IFERROR(__xludf.DUMMYFUNCTION("""COMPUTED_VALUE"""),"cyc*****105172@mail.edu.tw")</f>
        <v>cyc*****105172@mail.edu.tw</v>
      </c>
      <c r="D990" s="9" t="str">
        <f>IFERROR(__xludf.DUMMYFUNCTION("""COMPUTED_VALUE"""),"嘉義市私立嘉華高級中學")</f>
        <v>嘉義市私立嘉華高級中學</v>
      </c>
      <c r="E990" s="9" t="str">
        <f>IFERROR(__xludf.DUMMYFUNCTION("""COMPUTED_VALUE"""),"普通科")</f>
        <v>普通科</v>
      </c>
      <c r="F990" s="9" t="str">
        <f>IFERROR(__xludf.DUMMYFUNCTION("""COMPUTED_VALUE"""),"一年級")</f>
        <v>一年級</v>
      </c>
      <c r="G990" s="10" t="str">
        <f>IFERROR(__xludf.DUMMYFUNCTION("""COMPUTED_VALUE"""),"獎狀")</f>
        <v>獎狀</v>
      </c>
      <c r="H990" s="11" t="str">
        <f>IFERROR(__xludf.DUMMYFUNCTION("""COMPUTED_VALUE"""),"學籍資料不齊，請提供【就讀班級】")</f>
        <v>學籍資料不齊，請提供【就讀班級】</v>
      </c>
    </row>
    <row r="991">
      <c r="A991" s="5" t="s">
        <v>9</v>
      </c>
      <c r="B991" s="9" t="str">
        <f>IFERROR(__xludf.DUMMYFUNCTION("""COMPUTED_VALUE"""),"王O安")</f>
        <v>王O安</v>
      </c>
      <c r="C991" s="9" t="str">
        <f>IFERROR(__xludf.DUMMYFUNCTION("""COMPUTED_VALUE"""),"ch9*****mail.chsh.cy.edu.tw")</f>
        <v>ch9*****mail.chsh.cy.edu.tw</v>
      </c>
      <c r="D991" s="9" t="str">
        <f>IFERROR(__xludf.DUMMYFUNCTION("""COMPUTED_VALUE"""),"嘉義市私立嘉華高級中學")</f>
        <v>嘉義市私立嘉華高級中學</v>
      </c>
      <c r="E991" s="9" t="str">
        <f>IFERROR(__xludf.DUMMYFUNCTION("""COMPUTED_VALUE"""),"普通科")</f>
        <v>普通科</v>
      </c>
      <c r="F991" s="9" t="str">
        <f>IFERROR(__xludf.DUMMYFUNCTION("""COMPUTED_VALUE"""),"三年級")</f>
        <v>三年級</v>
      </c>
      <c r="G991" s="10" t="str">
        <f>IFERROR(__xludf.DUMMYFUNCTION("""COMPUTED_VALUE"""),"獎狀")</f>
        <v>獎狀</v>
      </c>
      <c r="H991" s="9"/>
    </row>
    <row r="992">
      <c r="A992" s="5" t="s">
        <v>9</v>
      </c>
      <c r="B992" s="9" t="str">
        <f>IFERROR(__xludf.DUMMYFUNCTION("""COMPUTED_VALUE"""),"劉O毅")</f>
        <v>劉O毅</v>
      </c>
      <c r="C992" s="9" t="str">
        <f>IFERROR(__xludf.DUMMYFUNCTION("""COMPUTED_VALUE"""),"s10*****cy@mail.edu.tw")</f>
        <v>s10*****cy@mail.edu.tw</v>
      </c>
      <c r="D992" s="9" t="str">
        <f>IFERROR(__xludf.DUMMYFUNCTION("""COMPUTED_VALUE"""),"國立華南高級商業職業學校")</f>
        <v>國立華南高級商業職業學校</v>
      </c>
      <c r="E992" s="9" t="str">
        <f>IFERROR(__xludf.DUMMYFUNCTION("""COMPUTED_VALUE"""),"普通科")</f>
        <v>普通科</v>
      </c>
      <c r="F992" s="9" t="str">
        <f>IFERROR(__xludf.DUMMYFUNCTION("""COMPUTED_VALUE"""),"一年級")</f>
        <v>一年級</v>
      </c>
      <c r="G992" s="10" t="str">
        <f>IFERROR(__xludf.DUMMYFUNCTION("""COMPUTED_VALUE"""),"獎狀")</f>
        <v>獎狀</v>
      </c>
      <c r="H992" s="11"/>
    </row>
    <row r="993">
      <c r="A993" s="5" t="s">
        <v>9</v>
      </c>
      <c r="B993" s="9" t="str">
        <f>IFERROR(__xludf.DUMMYFUNCTION("""COMPUTED_VALUE"""),"蘇O程")</f>
        <v>蘇O程</v>
      </c>
      <c r="C993" s="9" t="str">
        <f>IFERROR(__xludf.DUMMYFUNCTION("""COMPUTED_VALUE"""),"rai*****12959@gmail.com")</f>
        <v>rai*****12959@gmail.com</v>
      </c>
      <c r="D993" s="9" t="str">
        <f>IFERROR(__xludf.DUMMYFUNCTION("""COMPUTED_VALUE"""),"嘉義市私立輔仁高級中學")</f>
        <v>嘉義市私立輔仁高級中學</v>
      </c>
      <c r="E993" s="9" t="str">
        <f>IFERROR(__xludf.DUMMYFUNCTION("""COMPUTED_VALUE"""),"普通科")</f>
        <v>普通科</v>
      </c>
      <c r="F993" s="9" t="str">
        <f>IFERROR(__xludf.DUMMYFUNCTION("""COMPUTED_VALUE"""),"一年級")</f>
        <v>一年級</v>
      </c>
      <c r="G993" s="10" t="str">
        <f>IFERROR(__xludf.DUMMYFUNCTION("""COMPUTED_VALUE"""),"獎狀")</f>
        <v>獎狀</v>
      </c>
      <c r="H993" s="11"/>
    </row>
    <row r="994">
      <c r="A994" s="5" t="s">
        <v>9</v>
      </c>
      <c r="B994" s="9" t="str">
        <f>IFERROR(__xludf.DUMMYFUNCTION("""COMPUTED_VALUE"""),"朱O閎")</f>
        <v>朱O閎</v>
      </c>
      <c r="C994" s="9" t="str">
        <f>IFERROR(__xludf.DUMMYFUNCTION("""COMPUTED_VALUE"""),"zhu*****ong86@gmail.com")</f>
        <v>zhu*****ong86@gmail.com</v>
      </c>
      <c r="D994" s="9" t="str">
        <f>IFERROR(__xludf.DUMMYFUNCTION("""COMPUTED_VALUE"""),"嘉義市私立輔仁高級中學")</f>
        <v>嘉義市私立輔仁高級中學</v>
      </c>
      <c r="E994" s="9" t="str">
        <f>IFERROR(__xludf.DUMMYFUNCTION("""COMPUTED_VALUE"""),"普通科")</f>
        <v>普通科</v>
      </c>
      <c r="F994" s="9" t="str">
        <f>IFERROR(__xludf.DUMMYFUNCTION("""COMPUTED_VALUE"""),"一年級")</f>
        <v>一年級</v>
      </c>
      <c r="G994" s="10" t="str">
        <f>IFERROR(__xludf.DUMMYFUNCTION("""COMPUTED_VALUE"""),"獎狀")</f>
        <v>獎狀</v>
      </c>
      <c r="H994" s="11"/>
    </row>
    <row r="995">
      <c r="A995" s="5" t="s">
        <v>9</v>
      </c>
      <c r="B995" s="9" t="str">
        <f>IFERROR(__xludf.DUMMYFUNCTION("""COMPUTED_VALUE"""),"莊O淇")</f>
        <v>莊O淇</v>
      </c>
      <c r="C995" s="9" t="str">
        <f>IFERROR(__xludf.DUMMYFUNCTION("""COMPUTED_VALUE"""),"s31*****fjsh.cy.edu.tw")</f>
        <v>s31*****fjsh.cy.edu.tw</v>
      </c>
      <c r="D995" s="9" t="str">
        <f>IFERROR(__xludf.DUMMYFUNCTION("""COMPUTED_VALUE"""),"嘉義市私立輔仁高級中學")</f>
        <v>嘉義市私立輔仁高級中學</v>
      </c>
      <c r="E995" s="9" t="str">
        <f>IFERROR(__xludf.DUMMYFUNCTION("""COMPUTED_VALUE"""),"普通科")</f>
        <v>普通科</v>
      </c>
      <c r="F995" s="9" t="str">
        <f>IFERROR(__xludf.DUMMYFUNCTION("""COMPUTED_VALUE"""),"一年級")</f>
        <v>一年級</v>
      </c>
      <c r="G995" s="10" t="str">
        <f>IFERROR(__xludf.DUMMYFUNCTION("""COMPUTED_VALUE"""),"獎狀")</f>
        <v>獎狀</v>
      </c>
      <c r="H995" s="9"/>
    </row>
    <row r="996">
      <c r="A996" s="5" t="s">
        <v>9</v>
      </c>
      <c r="B996" s="9" t="str">
        <f>IFERROR(__xludf.DUMMYFUNCTION("""COMPUTED_VALUE"""),"林O瑀")</f>
        <v>林O瑀</v>
      </c>
      <c r="C996" s="9" t="str">
        <f>IFERROR(__xludf.DUMMYFUNCTION("""COMPUTED_VALUE"""),"s31*****fjsh.cy.edu.tw")</f>
        <v>s31*****fjsh.cy.edu.tw</v>
      </c>
      <c r="D996" s="9" t="str">
        <f>IFERROR(__xludf.DUMMYFUNCTION("""COMPUTED_VALUE"""),"嘉義市私立輔仁高級中學")</f>
        <v>嘉義市私立輔仁高級中學</v>
      </c>
      <c r="E996" s="9" t="str">
        <f>IFERROR(__xludf.DUMMYFUNCTION("""COMPUTED_VALUE"""),"普通科")</f>
        <v>普通科</v>
      </c>
      <c r="F996" s="9" t="str">
        <f>IFERROR(__xludf.DUMMYFUNCTION("""COMPUTED_VALUE"""),"一年級")</f>
        <v>一年級</v>
      </c>
      <c r="G996" s="10" t="str">
        <f>IFERROR(__xludf.DUMMYFUNCTION("""COMPUTED_VALUE"""),"獎狀")</f>
        <v>獎狀</v>
      </c>
      <c r="H996" s="9"/>
    </row>
    <row r="997">
      <c r="A997" s="5" t="s">
        <v>9</v>
      </c>
      <c r="B997" s="9" t="str">
        <f>IFERROR(__xludf.DUMMYFUNCTION("""COMPUTED_VALUE"""),"楊O亘")</f>
        <v>楊O亘</v>
      </c>
      <c r="C997" s="9" t="str">
        <f>IFERROR(__xludf.DUMMYFUNCTION("""COMPUTED_VALUE"""),"eir*****ang1017@gmail.com")</f>
        <v>eir*****ang1017@gmail.com</v>
      </c>
      <c r="D997" s="9" t="str">
        <f>IFERROR(__xludf.DUMMYFUNCTION("""COMPUTED_VALUE"""),"嘉義市私立輔仁高級中學")</f>
        <v>嘉義市私立輔仁高級中學</v>
      </c>
      <c r="E997" s="9" t="str">
        <f>IFERROR(__xludf.DUMMYFUNCTION("""COMPUTED_VALUE"""),"普通科")</f>
        <v>普通科</v>
      </c>
      <c r="F997" s="9" t="str">
        <f>IFERROR(__xludf.DUMMYFUNCTION("""COMPUTED_VALUE"""),"一年級")</f>
        <v>一年級</v>
      </c>
      <c r="G997" s="10" t="str">
        <f>IFERROR(__xludf.DUMMYFUNCTION("""COMPUTED_VALUE"""),"獎狀")</f>
        <v>獎狀</v>
      </c>
      <c r="H997" s="9"/>
    </row>
    <row r="998">
      <c r="A998" s="5" t="s">
        <v>9</v>
      </c>
      <c r="B998" s="9" t="str">
        <f>IFERROR(__xludf.DUMMYFUNCTION("""COMPUTED_VALUE"""),"鄭O涵")</f>
        <v>鄭O涵</v>
      </c>
      <c r="C998" s="9" t="str">
        <f>IFERROR(__xludf.DUMMYFUNCTION("""COMPUTED_VALUE"""),"mil*****98@gmail.com")</f>
        <v>mil*****98@gmail.com</v>
      </c>
      <c r="D998" s="9" t="str">
        <f>IFERROR(__xludf.DUMMYFUNCTION("""COMPUTED_VALUE"""),"嘉義市私立輔仁高級中學")</f>
        <v>嘉義市私立輔仁高級中學</v>
      </c>
      <c r="E998" s="9" t="str">
        <f>IFERROR(__xludf.DUMMYFUNCTION("""COMPUTED_VALUE"""),"普通科")</f>
        <v>普通科</v>
      </c>
      <c r="F998" s="9" t="str">
        <f>IFERROR(__xludf.DUMMYFUNCTION("""COMPUTED_VALUE"""),"一年級")</f>
        <v>一年級</v>
      </c>
      <c r="G998" s="10" t="str">
        <f>IFERROR(__xludf.DUMMYFUNCTION("""COMPUTED_VALUE"""),"獎狀")</f>
        <v>獎狀</v>
      </c>
      <c r="H998" s="9"/>
    </row>
    <row r="999">
      <c r="A999" s="5" t="s">
        <v>9</v>
      </c>
      <c r="B999" s="9" t="str">
        <f>IFERROR(__xludf.DUMMYFUNCTION("""COMPUTED_VALUE"""),"郭O伶")</f>
        <v>郭O伶</v>
      </c>
      <c r="C999" s="9" t="str">
        <f>IFERROR(__xludf.DUMMYFUNCTION("""COMPUTED_VALUE"""),"dor*****810@gmail.com")</f>
        <v>dor*****810@gmail.com</v>
      </c>
      <c r="D999" s="9" t="str">
        <f>IFERROR(__xludf.DUMMYFUNCTION("""COMPUTED_VALUE"""),"嘉義市私立輔仁高級中學")</f>
        <v>嘉義市私立輔仁高級中學</v>
      </c>
      <c r="E999" s="9" t="str">
        <f>IFERROR(__xludf.DUMMYFUNCTION("""COMPUTED_VALUE"""),"普通科")</f>
        <v>普通科</v>
      </c>
      <c r="F999" s="9" t="str">
        <f>IFERROR(__xludf.DUMMYFUNCTION("""COMPUTED_VALUE"""),"一年級")</f>
        <v>一年級</v>
      </c>
      <c r="G999" s="10" t="str">
        <f>IFERROR(__xludf.DUMMYFUNCTION("""COMPUTED_VALUE"""),"獎狀")</f>
        <v>獎狀</v>
      </c>
      <c r="H999" s="9"/>
    </row>
    <row r="1000">
      <c r="A1000" s="5" t="s">
        <v>9</v>
      </c>
      <c r="B1000" s="9" t="str">
        <f>IFERROR(__xludf.DUMMYFUNCTION("""COMPUTED_VALUE"""),"鄭O琪")</f>
        <v>鄭O琪</v>
      </c>
      <c r="C1000" s="9" t="str">
        <f>IFERROR(__xludf.DUMMYFUNCTION("""COMPUTED_VALUE"""),"s31*****fjsh.cy.edu.tw")</f>
        <v>s31*****fjsh.cy.edu.tw</v>
      </c>
      <c r="D1000" s="9" t="str">
        <f>IFERROR(__xludf.DUMMYFUNCTION("""COMPUTED_VALUE"""),"嘉義市私立輔仁高級中學")</f>
        <v>嘉義市私立輔仁高級中學</v>
      </c>
      <c r="E1000" s="9" t="str">
        <f>IFERROR(__xludf.DUMMYFUNCTION("""COMPUTED_VALUE"""),"普通科")</f>
        <v>普通科</v>
      </c>
      <c r="F1000" s="9" t="str">
        <f>IFERROR(__xludf.DUMMYFUNCTION("""COMPUTED_VALUE"""),"一年級")</f>
        <v>一年級</v>
      </c>
      <c r="G1000" s="10" t="str">
        <f>IFERROR(__xludf.DUMMYFUNCTION("""COMPUTED_VALUE"""),"■商品卡$200")</f>
        <v>■商品卡$200</v>
      </c>
      <c r="H1000" s="9"/>
    </row>
    <row r="1001">
      <c r="A1001" s="5" t="s">
        <v>9</v>
      </c>
      <c r="B1001" s="9" t="str">
        <f>IFERROR(__xludf.DUMMYFUNCTION("""COMPUTED_VALUE"""),"邱O瑄")</f>
        <v>邱O瑄</v>
      </c>
      <c r="C1001" s="9" t="str">
        <f>IFERROR(__xludf.DUMMYFUNCTION("""COMPUTED_VALUE"""),"s31*****fjsh.cy.edu.tw")</f>
        <v>s31*****fjsh.cy.edu.tw</v>
      </c>
      <c r="D1001" s="9" t="str">
        <f>IFERROR(__xludf.DUMMYFUNCTION("""COMPUTED_VALUE"""),"嘉義市私立輔仁高級中學")</f>
        <v>嘉義市私立輔仁高級中學</v>
      </c>
      <c r="E1001" s="9" t="str">
        <f>IFERROR(__xludf.DUMMYFUNCTION("""COMPUTED_VALUE"""),"普通科")</f>
        <v>普通科</v>
      </c>
      <c r="F1001" s="9" t="str">
        <f>IFERROR(__xludf.DUMMYFUNCTION("""COMPUTED_VALUE"""),"一年級")</f>
        <v>一年級</v>
      </c>
      <c r="G1001" s="10" t="str">
        <f>IFERROR(__xludf.DUMMYFUNCTION("""COMPUTED_VALUE"""),"獎狀")</f>
        <v>獎狀</v>
      </c>
      <c r="H1001" s="11"/>
    </row>
    <row r="1002">
      <c r="A1002" s="5" t="s">
        <v>9</v>
      </c>
      <c r="B1002" s="9" t="str">
        <f>IFERROR(__xludf.DUMMYFUNCTION("""COMPUTED_VALUE"""),"林O溱")</f>
        <v>林O溱</v>
      </c>
      <c r="C1002" s="9" t="str">
        <f>IFERROR(__xludf.DUMMYFUNCTION("""COMPUTED_VALUE"""),"hon*****20080902@gmail.com")</f>
        <v>hon*****20080902@gmail.com</v>
      </c>
      <c r="D1002" s="9" t="str">
        <f>IFERROR(__xludf.DUMMYFUNCTION("""COMPUTED_VALUE"""),"嘉義市私立輔仁高級中學")</f>
        <v>嘉義市私立輔仁高級中學</v>
      </c>
      <c r="E1002" s="9" t="str">
        <f>IFERROR(__xludf.DUMMYFUNCTION("""COMPUTED_VALUE"""),"普通科")</f>
        <v>普通科</v>
      </c>
      <c r="F1002" s="9" t="str">
        <f>IFERROR(__xludf.DUMMYFUNCTION("""COMPUTED_VALUE"""),"一年級")</f>
        <v>一年級</v>
      </c>
      <c r="G1002" s="10" t="str">
        <f>IFERROR(__xludf.DUMMYFUNCTION("""COMPUTED_VALUE"""),"獎狀")</f>
        <v>獎狀</v>
      </c>
      <c r="H1002" s="11"/>
    </row>
    <row r="1003">
      <c r="A1003" s="5" t="s">
        <v>9</v>
      </c>
      <c r="B1003" s="9" t="str">
        <f>IFERROR(__xludf.DUMMYFUNCTION("""COMPUTED_VALUE"""),"陳O璇")</f>
        <v>陳O璇</v>
      </c>
      <c r="C1003" s="9" t="str">
        <f>IFERROR(__xludf.DUMMYFUNCTION("""COMPUTED_VALUE"""),"s31*****fjsh.cy.edu.tw")</f>
        <v>s31*****fjsh.cy.edu.tw</v>
      </c>
      <c r="D1003" s="9" t="str">
        <f>IFERROR(__xludf.DUMMYFUNCTION("""COMPUTED_VALUE"""),"嘉義市私立輔仁高級中學")</f>
        <v>嘉義市私立輔仁高級中學</v>
      </c>
      <c r="E1003" s="9" t="str">
        <f>IFERROR(__xludf.DUMMYFUNCTION("""COMPUTED_VALUE"""),"普通科")</f>
        <v>普通科</v>
      </c>
      <c r="F1003" s="9" t="str">
        <f>IFERROR(__xludf.DUMMYFUNCTION("""COMPUTED_VALUE"""),"一年級")</f>
        <v>一年級</v>
      </c>
      <c r="G1003" s="10" t="str">
        <f>IFERROR(__xludf.DUMMYFUNCTION("""COMPUTED_VALUE"""),"獎狀")</f>
        <v>獎狀</v>
      </c>
      <c r="H1003" s="11"/>
    </row>
    <row r="1004">
      <c r="A1004" s="5" t="s">
        <v>9</v>
      </c>
      <c r="B1004" s="9" t="str">
        <f>IFERROR(__xludf.DUMMYFUNCTION("""COMPUTED_VALUE"""),"鄭O貞")</f>
        <v>鄭O貞</v>
      </c>
      <c r="C1004" s="9" t="str">
        <f>IFERROR(__xludf.DUMMYFUNCTION("""COMPUTED_VALUE"""),"000*****udent.hjgs.cy.edu.tw")</f>
        <v>000*****udent.hjgs.cy.edu.tw</v>
      </c>
      <c r="D1004" s="9" t="str">
        <f>IFERROR(__xludf.DUMMYFUNCTION("""COMPUTED_VALUE"""),"宏仁學校財團法人嘉義市宏仁高級中等學校")</f>
        <v>宏仁學校財團法人嘉義市宏仁高級中等學校</v>
      </c>
      <c r="E1004" s="9" t="str">
        <f>IFERROR(__xludf.DUMMYFUNCTION("""COMPUTED_VALUE"""),"普通科")</f>
        <v>普通科</v>
      </c>
      <c r="F1004" s="9" t="str">
        <f>IFERROR(__xludf.DUMMYFUNCTION("""COMPUTED_VALUE"""),"二年級")</f>
        <v>二年級</v>
      </c>
      <c r="G1004" s="10" t="str">
        <f>IFERROR(__xludf.DUMMYFUNCTION("""COMPUTED_VALUE"""),"■商品卡$200")</f>
        <v>■商品卡$200</v>
      </c>
      <c r="H1004" s="9"/>
    </row>
    <row r="1005">
      <c r="A1005" s="5" t="s">
        <v>9</v>
      </c>
      <c r="B1005" s="9" t="str">
        <f>IFERROR(__xludf.DUMMYFUNCTION("""COMPUTED_VALUE"""),"陳O妮")</f>
        <v>陳O妮</v>
      </c>
      <c r="C1005" s="9" t="str">
        <f>IFERROR(__xludf.DUMMYFUNCTION("""COMPUTED_VALUE"""),"s03*****.kh@go.edu.tw")</f>
        <v>s03*****.kh@go.edu.tw</v>
      </c>
      <c r="D1005" s="9" t="str">
        <f>IFERROR(__xludf.DUMMYFUNCTION("""COMPUTED_VALUE"""),"宏仁學校財團法人嘉義市宏仁高級中等學校")</f>
        <v>宏仁學校財團法人嘉義市宏仁高級中等學校</v>
      </c>
      <c r="E1005" s="9" t="str">
        <f>IFERROR(__xludf.DUMMYFUNCTION("""COMPUTED_VALUE"""),"普通科")</f>
        <v>普通科</v>
      </c>
      <c r="F1005" s="9" t="str">
        <f>IFERROR(__xludf.DUMMYFUNCTION("""COMPUTED_VALUE"""),"三年級")</f>
        <v>三年級</v>
      </c>
      <c r="G1005" s="10" t="str">
        <f>IFERROR(__xludf.DUMMYFUNCTION("""COMPUTED_VALUE"""),"獎狀")</f>
        <v>獎狀</v>
      </c>
      <c r="H1005" s="9"/>
    </row>
    <row r="1006">
      <c r="A1006" s="5" t="s">
        <v>9</v>
      </c>
      <c r="B1006" s="9" t="str">
        <f>IFERROR(__xludf.DUMMYFUNCTION("""COMPUTED_VALUE"""),"劉O云")</f>
        <v>劉O云</v>
      </c>
      <c r="C1006" s="9" t="str">
        <f>IFERROR(__xludf.DUMMYFUNCTION("""COMPUTED_VALUE"""),"100*****sh.cy.edu.tw")</f>
        <v>100*****sh.cy.edu.tw</v>
      </c>
      <c r="D1006" s="9" t="str">
        <f>IFERROR(__xludf.DUMMYFUNCTION("""COMPUTED_VALUE"""),"嘉義市私立興華高級中學")</f>
        <v>嘉義市私立興華高級中學</v>
      </c>
      <c r="E1006" s="9" t="str">
        <f>IFERROR(__xludf.DUMMYFUNCTION("""COMPUTED_VALUE"""),"普通科")</f>
        <v>普通科</v>
      </c>
      <c r="F1006" s="9" t="str">
        <f>IFERROR(__xludf.DUMMYFUNCTION("""COMPUTED_VALUE"""),"一年級")</f>
        <v>一年級</v>
      </c>
      <c r="G1006" s="10" t="str">
        <f>IFERROR(__xludf.DUMMYFUNCTION("""COMPUTED_VALUE"""),"獎狀")</f>
        <v>獎狀</v>
      </c>
      <c r="H1006" s="9"/>
    </row>
    <row r="1007">
      <c r="A1007" s="5" t="s">
        <v>9</v>
      </c>
      <c r="B1007" s="9" t="str">
        <f>IFERROR(__xludf.DUMMYFUNCTION("""COMPUTED_VALUE"""),"施O峰")</f>
        <v>施O峰</v>
      </c>
      <c r="C1007" s="9" t="str">
        <f>IFERROR(__xludf.DUMMYFUNCTION("""COMPUTED_VALUE"""),"jim*****707990707@gmail.com")</f>
        <v>jim*****707990707@gmail.com</v>
      </c>
      <c r="D1007" s="9" t="str">
        <f>IFERROR(__xludf.DUMMYFUNCTION("""COMPUTED_VALUE"""),"嘉義市私立興華高級中學")</f>
        <v>嘉義市私立興華高級中學</v>
      </c>
      <c r="E1007" s="9" t="str">
        <f>IFERROR(__xludf.DUMMYFUNCTION("""COMPUTED_VALUE"""),"普通科")</f>
        <v>普通科</v>
      </c>
      <c r="F1007" s="9" t="str">
        <f>IFERROR(__xludf.DUMMYFUNCTION("""COMPUTED_VALUE"""),"一年級")</f>
        <v>一年級</v>
      </c>
      <c r="G1007" s="10" t="str">
        <f>IFERROR(__xludf.DUMMYFUNCTION("""COMPUTED_VALUE"""),"獎狀")</f>
        <v>獎狀</v>
      </c>
      <c r="H1007" s="9"/>
    </row>
    <row r="1008">
      <c r="A1008" s="5" t="s">
        <v>9</v>
      </c>
      <c r="B1008" s="9" t="str">
        <f>IFERROR(__xludf.DUMMYFUNCTION("""COMPUTED_VALUE"""),"王O筠")</f>
        <v>王O筠</v>
      </c>
      <c r="C1008" s="9" t="str">
        <f>IFERROR(__xludf.DUMMYFUNCTION("""COMPUTED_VALUE"""),"311*****hsh.cy.edu.tw")</f>
        <v>311*****hsh.cy.edu.tw</v>
      </c>
      <c r="D1008" s="9" t="str">
        <f>IFERROR(__xludf.DUMMYFUNCTION("""COMPUTED_VALUE"""),"嘉義市私立興華高級中學")</f>
        <v>嘉義市私立興華高級中學</v>
      </c>
      <c r="E1008" s="9" t="str">
        <f>IFERROR(__xludf.DUMMYFUNCTION("""COMPUTED_VALUE"""),"普通科")</f>
        <v>普通科</v>
      </c>
      <c r="F1008" s="9" t="str">
        <f>IFERROR(__xludf.DUMMYFUNCTION("""COMPUTED_VALUE"""),"一年級")</f>
        <v>一年級</v>
      </c>
      <c r="G1008" s="10" t="str">
        <f>IFERROR(__xludf.DUMMYFUNCTION("""COMPUTED_VALUE"""),"獎狀")</f>
        <v>獎狀</v>
      </c>
      <c r="H1008" s="9"/>
    </row>
    <row r="1009">
      <c r="A1009" s="5" t="s">
        <v>9</v>
      </c>
      <c r="B1009" s="9" t="str">
        <f>IFERROR(__xludf.DUMMYFUNCTION("""COMPUTED_VALUE"""),"曾O萓")</f>
        <v>曾O萓</v>
      </c>
      <c r="C1009" s="9" t="str">
        <f>IFERROR(__xludf.DUMMYFUNCTION("""COMPUTED_VALUE"""),"311*****hsh.cy.edu.tw")</f>
        <v>311*****hsh.cy.edu.tw</v>
      </c>
      <c r="D1009" s="9" t="str">
        <f>IFERROR(__xludf.DUMMYFUNCTION("""COMPUTED_VALUE"""),"嘉義市私立興華高級中學")</f>
        <v>嘉義市私立興華高級中學</v>
      </c>
      <c r="E1009" s="9" t="str">
        <f>IFERROR(__xludf.DUMMYFUNCTION("""COMPUTED_VALUE"""),"普通科")</f>
        <v>普通科</v>
      </c>
      <c r="F1009" s="9" t="str">
        <f>IFERROR(__xludf.DUMMYFUNCTION("""COMPUTED_VALUE"""),"二年級")</f>
        <v>二年級</v>
      </c>
      <c r="G1009" s="10" t="str">
        <f>IFERROR(__xludf.DUMMYFUNCTION("""COMPUTED_VALUE"""),"獎狀")</f>
        <v>獎狀</v>
      </c>
      <c r="H1009" s="9"/>
    </row>
    <row r="1010">
      <c r="A1010" s="5" t="s">
        <v>9</v>
      </c>
      <c r="B1010" s="9" t="str">
        <f>IFERROR(__xludf.DUMMYFUNCTION("""COMPUTED_VALUE"""),"邱O綸")</f>
        <v>邱O綸</v>
      </c>
      <c r="C1010" s="9" t="str">
        <f>IFERROR(__xludf.DUMMYFUNCTION("""COMPUTED_VALUE"""),"yrp*****05@mail.edu.tw")</f>
        <v>yrp*****05@mail.edu.tw</v>
      </c>
      <c r="D1010" s="9" t="str">
        <f>IFERROR(__xludf.DUMMYFUNCTION("""COMPUTED_VALUE"""),"嘉義市私立興華高級中學")</f>
        <v>嘉義市私立興華高級中學</v>
      </c>
      <c r="E1010" s="9" t="str">
        <f>IFERROR(__xludf.DUMMYFUNCTION("""COMPUTED_VALUE"""),"普通科")</f>
        <v>普通科</v>
      </c>
      <c r="F1010" s="9" t="str">
        <f>IFERROR(__xludf.DUMMYFUNCTION("""COMPUTED_VALUE"""),"二年級")</f>
        <v>二年級</v>
      </c>
      <c r="G1010" s="10" t="str">
        <f>IFERROR(__xludf.DUMMYFUNCTION("""COMPUTED_VALUE"""),"獎狀")</f>
        <v>獎狀</v>
      </c>
      <c r="H1010" s="9"/>
    </row>
    <row r="1011">
      <c r="A1011" s="5" t="s">
        <v>9</v>
      </c>
      <c r="B1011" s="9" t="str">
        <f>IFERROR(__xludf.DUMMYFUNCTION("""COMPUTED_VALUE"""),"王O維")</f>
        <v>王O維</v>
      </c>
      <c r="C1011" s="9" t="str">
        <f>IFERROR(__xludf.DUMMYFUNCTION("""COMPUTED_VALUE"""),"211*****hsh.cy.edu.tw")</f>
        <v>211*****hsh.cy.edu.tw</v>
      </c>
      <c r="D1011" s="9" t="str">
        <f>IFERROR(__xludf.DUMMYFUNCTION("""COMPUTED_VALUE"""),"嘉義市私立興華高級中學")</f>
        <v>嘉義市私立興華高級中學</v>
      </c>
      <c r="E1011" s="9" t="str">
        <f>IFERROR(__xludf.DUMMYFUNCTION("""COMPUTED_VALUE"""),"普通科")</f>
        <v>普通科</v>
      </c>
      <c r="F1011" s="9" t="str">
        <f>IFERROR(__xludf.DUMMYFUNCTION("""COMPUTED_VALUE"""),"二年級")</f>
        <v>二年級</v>
      </c>
      <c r="G1011" s="10" t="str">
        <f>IFERROR(__xludf.DUMMYFUNCTION("""COMPUTED_VALUE"""),"○商品卡$500")</f>
        <v>○商品卡$500</v>
      </c>
      <c r="H1011" s="9"/>
    </row>
    <row r="1012">
      <c r="A1012" s="5" t="s">
        <v>9</v>
      </c>
      <c r="B1012" s="9" t="str">
        <f>IFERROR(__xludf.DUMMYFUNCTION("""COMPUTED_VALUE"""),"劉O成")</f>
        <v>劉O成</v>
      </c>
      <c r="C1012" s="9" t="str">
        <f>IFERROR(__xludf.DUMMYFUNCTION("""COMPUTED_VALUE"""),"211*****hsh.cy.edu.tw")</f>
        <v>211*****hsh.cy.edu.tw</v>
      </c>
      <c r="D1012" s="9" t="str">
        <f>IFERROR(__xludf.DUMMYFUNCTION("""COMPUTED_VALUE"""),"嘉義市私立興華高級中學")</f>
        <v>嘉義市私立興華高級中學</v>
      </c>
      <c r="E1012" s="9" t="str">
        <f>IFERROR(__xludf.DUMMYFUNCTION("""COMPUTED_VALUE"""),"普通科")</f>
        <v>普通科</v>
      </c>
      <c r="F1012" s="9" t="str">
        <f>IFERROR(__xludf.DUMMYFUNCTION("""COMPUTED_VALUE"""),"二年級")</f>
        <v>二年級</v>
      </c>
      <c r="G1012" s="10" t="str">
        <f>IFERROR(__xludf.DUMMYFUNCTION("""COMPUTED_VALUE"""),"獎狀")</f>
        <v>獎狀</v>
      </c>
      <c r="H1012" s="9"/>
    </row>
    <row r="1013">
      <c r="A1013" s="5" t="s">
        <v>9</v>
      </c>
      <c r="B1013" s="9" t="str">
        <f>IFERROR(__xludf.DUMMYFUNCTION("""COMPUTED_VALUE"""),"許O鑫")</f>
        <v>許O鑫</v>
      </c>
      <c r="C1013" s="9" t="str">
        <f>IFERROR(__xludf.DUMMYFUNCTION("""COMPUTED_VALUE"""),"211*****hsh.cy.edu.tw")</f>
        <v>211*****hsh.cy.edu.tw</v>
      </c>
      <c r="D1013" s="9" t="str">
        <f>IFERROR(__xludf.DUMMYFUNCTION("""COMPUTED_VALUE"""),"嘉義市私立興華高級中學")</f>
        <v>嘉義市私立興華高級中學</v>
      </c>
      <c r="E1013" s="9" t="str">
        <f>IFERROR(__xludf.DUMMYFUNCTION("""COMPUTED_VALUE"""),"普通科")</f>
        <v>普通科</v>
      </c>
      <c r="F1013" s="9" t="str">
        <f>IFERROR(__xludf.DUMMYFUNCTION("""COMPUTED_VALUE"""),"二年級")</f>
        <v>二年級</v>
      </c>
      <c r="G1013" s="10" t="str">
        <f>IFERROR(__xludf.DUMMYFUNCTION("""COMPUTED_VALUE"""),"獎狀")</f>
        <v>獎狀</v>
      </c>
      <c r="H1013" s="9"/>
    </row>
    <row r="1014">
      <c r="A1014" s="5" t="s">
        <v>9</v>
      </c>
      <c r="B1014" s="9" t="str">
        <f>IFERROR(__xludf.DUMMYFUNCTION("""COMPUTED_VALUE"""),"張O硯")</f>
        <v>張O硯</v>
      </c>
      <c r="C1014" s="9" t="str">
        <f>IFERROR(__xludf.DUMMYFUNCTION("""COMPUTED_VALUE"""),"tzh*****08979@gmail.com")</f>
        <v>tzh*****08979@gmail.com</v>
      </c>
      <c r="D1014" s="9" t="str">
        <f>IFERROR(__xludf.DUMMYFUNCTION("""COMPUTED_VALUE"""),"嘉義市私立興華高級中學")</f>
        <v>嘉義市私立興華高級中學</v>
      </c>
      <c r="E1014" s="9" t="str">
        <f>IFERROR(__xludf.DUMMYFUNCTION("""COMPUTED_VALUE"""),"普通科")</f>
        <v>普通科</v>
      </c>
      <c r="F1014" s="9" t="str">
        <f>IFERROR(__xludf.DUMMYFUNCTION("""COMPUTED_VALUE"""),"二年級")</f>
        <v>二年級</v>
      </c>
      <c r="G1014" s="10" t="str">
        <f>IFERROR(__xludf.DUMMYFUNCTION("""COMPUTED_VALUE"""),"獎狀")</f>
        <v>獎狀</v>
      </c>
      <c r="H1014" s="9"/>
    </row>
    <row r="1015">
      <c r="A1015" s="5" t="s">
        <v>9</v>
      </c>
      <c r="B1015" s="9" t="str">
        <f>IFERROR(__xludf.DUMMYFUNCTION("""COMPUTED_VALUE"""),"黃O臻")</f>
        <v>黃O臻</v>
      </c>
      <c r="C1015" s="9" t="str">
        <f>IFERROR(__xludf.DUMMYFUNCTION("""COMPUTED_VALUE"""),"311*****hsh.cy.edu.tw")</f>
        <v>311*****hsh.cy.edu.tw</v>
      </c>
      <c r="D1015" s="9" t="str">
        <f>IFERROR(__xludf.DUMMYFUNCTION("""COMPUTED_VALUE"""),"嘉義市私立興華高級中學")</f>
        <v>嘉義市私立興華高級中學</v>
      </c>
      <c r="E1015" s="9" t="str">
        <f>IFERROR(__xludf.DUMMYFUNCTION("""COMPUTED_VALUE"""),"普通科")</f>
        <v>普通科</v>
      </c>
      <c r="F1015" s="9" t="str">
        <f>IFERROR(__xludf.DUMMYFUNCTION("""COMPUTED_VALUE"""),"二年級")</f>
        <v>二年級</v>
      </c>
      <c r="G1015" s="10" t="str">
        <f>IFERROR(__xludf.DUMMYFUNCTION("""COMPUTED_VALUE"""),"獎狀")</f>
        <v>獎狀</v>
      </c>
      <c r="H1015" s="9"/>
    </row>
    <row r="1016">
      <c r="A1016" s="5" t="s">
        <v>9</v>
      </c>
      <c r="B1016" s="9" t="str">
        <f>IFERROR(__xludf.DUMMYFUNCTION("""COMPUTED_VALUE"""),"謝O彤")</f>
        <v>謝O彤</v>
      </c>
      <c r="C1016" s="9" t="str">
        <f>IFERROR(__xludf.DUMMYFUNCTION("""COMPUTED_VALUE"""),"311*****hsh.cy.edu.tw")</f>
        <v>311*****hsh.cy.edu.tw</v>
      </c>
      <c r="D1016" s="9" t="str">
        <f>IFERROR(__xludf.DUMMYFUNCTION("""COMPUTED_VALUE"""),"嘉義市私立興華高級中學")</f>
        <v>嘉義市私立興華高級中學</v>
      </c>
      <c r="E1016" s="9" t="str">
        <f>IFERROR(__xludf.DUMMYFUNCTION("""COMPUTED_VALUE"""),"普通科")</f>
        <v>普通科</v>
      </c>
      <c r="F1016" s="9" t="str">
        <f>IFERROR(__xludf.DUMMYFUNCTION("""COMPUTED_VALUE"""),"二年級")</f>
        <v>二年級</v>
      </c>
      <c r="G1016" s="10" t="str">
        <f>IFERROR(__xludf.DUMMYFUNCTION("""COMPUTED_VALUE"""),"獎狀")</f>
        <v>獎狀</v>
      </c>
      <c r="H1016" s="9"/>
    </row>
    <row r="1017">
      <c r="A1017" s="5" t="s">
        <v>9</v>
      </c>
      <c r="B1017" s="9" t="str">
        <f>IFERROR(__xludf.DUMMYFUNCTION("""COMPUTED_VALUE"""),"曾O嘉")</f>
        <v>曾O嘉</v>
      </c>
      <c r="C1017" s="9" t="str">
        <f>IFERROR(__xludf.DUMMYFUNCTION("""COMPUTED_VALUE"""),"311*****hsh.cy.edu.tw")</f>
        <v>311*****hsh.cy.edu.tw</v>
      </c>
      <c r="D1017" s="9" t="str">
        <f>IFERROR(__xludf.DUMMYFUNCTION("""COMPUTED_VALUE"""),"嘉義市私立興華高級中學")</f>
        <v>嘉義市私立興華高級中學</v>
      </c>
      <c r="E1017" s="9" t="str">
        <f>IFERROR(__xludf.DUMMYFUNCTION("""COMPUTED_VALUE"""),"普通科")</f>
        <v>普通科</v>
      </c>
      <c r="F1017" s="9" t="str">
        <f>IFERROR(__xludf.DUMMYFUNCTION("""COMPUTED_VALUE"""),"二年級")</f>
        <v>二年級</v>
      </c>
      <c r="G1017" s="10" t="str">
        <f>IFERROR(__xludf.DUMMYFUNCTION("""COMPUTED_VALUE"""),"獎狀")</f>
        <v>獎狀</v>
      </c>
      <c r="H1017" s="9"/>
    </row>
    <row r="1018">
      <c r="A1018" s="5" t="s">
        <v>9</v>
      </c>
      <c r="B1018" s="9" t="str">
        <f>IFERROR(__xludf.DUMMYFUNCTION("""COMPUTED_VALUE"""),"余O彤")</f>
        <v>余O彤</v>
      </c>
      <c r="C1018" s="9" t="str">
        <f>IFERROR(__xludf.DUMMYFUNCTION("""COMPUTED_VALUE"""),"311*****hsh.cy.edu.tw")</f>
        <v>311*****hsh.cy.edu.tw</v>
      </c>
      <c r="D1018" s="9" t="str">
        <f>IFERROR(__xludf.DUMMYFUNCTION("""COMPUTED_VALUE"""),"嘉義市私立興華高級中學")</f>
        <v>嘉義市私立興華高級中學</v>
      </c>
      <c r="E1018" s="9" t="str">
        <f>IFERROR(__xludf.DUMMYFUNCTION("""COMPUTED_VALUE"""),"普通科")</f>
        <v>普通科</v>
      </c>
      <c r="F1018" s="9" t="str">
        <f>IFERROR(__xludf.DUMMYFUNCTION("""COMPUTED_VALUE"""),"二年級")</f>
        <v>二年級</v>
      </c>
      <c r="G1018" s="10" t="str">
        <f>IFERROR(__xludf.DUMMYFUNCTION("""COMPUTED_VALUE"""),"獎狀")</f>
        <v>獎狀</v>
      </c>
      <c r="H1018" s="9"/>
    </row>
    <row r="1019">
      <c r="A1019" s="5" t="s">
        <v>9</v>
      </c>
      <c r="B1019" s="9" t="str">
        <f>IFERROR(__xludf.DUMMYFUNCTION("""COMPUTED_VALUE"""),"劉O嘉")</f>
        <v>劉O嘉</v>
      </c>
      <c r="C1019" s="9" t="str">
        <f>IFERROR(__xludf.DUMMYFUNCTION("""COMPUTED_VALUE"""),"311*****hsh.cy.edu.tw")</f>
        <v>311*****hsh.cy.edu.tw</v>
      </c>
      <c r="D1019" s="9" t="str">
        <f>IFERROR(__xludf.DUMMYFUNCTION("""COMPUTED_VALUE"""),"嘉義市私立興華高級中學")</f>
        <v>嘉義市私立興華高級中學</v>
      </c>
      <c r="E1019" s="9" t="str">
        <f>IFERROR(__xludf.DUMMYFUNCTION("""COMPUTED_VALUE"""),"普通科")</f>
        <v>普通科</v>
      </c>
      <c r="F1019" s="9" t="str">
        <f>IFERROR(__xludf.DUMMYFUNCTION("""COMPUTED_VALUE"""),"二年級")</f>
        <v>二年級</v>
      </c>
      <c r="G1019" s="10" t="str">
        <f>IFERROR(__xludf.DUMMYFUNCTION("""COMPUTED_VALUE"""),"獎狀")</f>
        <v>獎狀</v>
      </c>
      <c r="H1019" s="9"/>
    </row>
    <row r="1020">
      <c r="A1020" s="5" t="s">
        <v>9</v>
      </c>
      <c r="B1020" s="9" t="str">
        <f>IFERROR(__xludf.DUMMYFUNCTION("""COMPUTED_VALUE"""),"高O芯")</f>
        <v>高O芯</v>
      </c>
      <c r="C1020" s="9" t="str">
        <f>IFERROR(__xludf.DUMMYFUNCTION("""COMPUTED_VALUE"""),"311*****hsh.cy.edu.tw")</f>
        <v>311*****hsh.cy.edu.tw</v>
      </c>
      <c r="D1020" s="9" t="str">
        <f>IFERROR(__xludf.DUMMYFUNCTION("""COMPUTED_VALUE"""),"嘉義市私立興華高級中學")</f>
        <v>嘉義市私立興華高級中學</v>
      </c>
      <c r="E1020" s="9" t="str">
        <f>IFERROR(__xludf.DUMMYFUNCTION("""COMPUTED_VALUE"""),"普通科")</f>
        <v>普通科</v>
      </c>
      <c r="F1020" s="9" t="str">
        <f>IFERROR(__xludf.DUMMYFUNCTION("""COMPUTED_VALUE"""),"二年級")</f>
        <v>二年級</v>
      </c>
      <c r="G1020" s="10" t="str">
        <f>IFERROR(__xludf.DUMMYFUNCTION("""COMPUTED_VALUE"""),"獎狀")</f>
        <v>獎狀</v>
      </c>
      <c r="H1020" s="9"/>
    </row>
    <row r="1021">
      <c r="A1021" s="5" t="s">
        <v>9</v>
      </c>
      <c r="B1021" s="9" t="str">
        <f>IFERROR(__xludf.DUMMYFUNCTION("""COMPUTED_VALUE"""),"施O蓁")</f>
        <v>施O蓁</v>
      </c>
      <c r="C1021" s="9" t="str">
        <f>IFERROR(__xludf.DUMMYFUNCTION("""COMPUTED_VALUE"""),"311*****hsh.cy.edu.tw")</f>
        <v>311*****hsh.cy.edu.tw</v>
      </c>
      <c r="D1021" s="9" t="str">
        <f>IFERROR(__xludf.DUMMYFUNCTION("""COMPUTED_VALUE"""),"嘉義市私立興華高級中學")</f>
        <v>嘉義市私立興華高級中學</v>
      </c>
      <c r="E1021" s="9" t="str">
        <f>IFERROR(__xludf.DUMMYFUNCTION("""COMPUTED_VALUE"""),"普通科")</f>
        <v>普通科</v>
      </c>
      <c r="F1021" s="9" t="str">
        <f>IFERROR(__xludf.DUMMYFUNCTION("""COMPUTED_VALUE"""),"二年級")</f>
        <v>二年級</v>
      </c>
      <c r="G1021" s="10" t="str">
        <f>IFERROR(__xludf.DUMMYFUNCTION("""COMPUTED_VALUE"""),"獎狀")</f>
        <v>獎狀</v>
      </c>
      <c r="H1021" s="9"/>
    </row>
    <row r="1022">
      <c r="A1022" s="5" t="s">
        <v>9</v>
      </c>
      <c r="B1022" s="9" t="str">
        <f>IFERROR(__xludf.DUMMYFUNCTION("""COMPUTED_VALUE"""),"陳O玄")</f>
        <v>陳O玄</v>
      </c>
      <c r="C1022" s="9" t="str">
        <f>IFERROR(__xludf.DUMMYFUNCTION("""COMPUTED_VALUE"""),"311*****hsh.cy.edu.tw")</f>
        <v>311*****hsh.cy.edu.tw</v>
      </c>
      <c r="D1022" s="9" t="str">
        <f>IFERROR(__xludf.DUMMYFUNCTION("""COMPUTED_VALUE"""),"嘉義市私立興華高級中學")</f>
        <v>嘉義市私立興華高級中學</v>
      </c>
      <c r="E1022" s="9" t="str">
        <f>IFERROR(__xludf.DUMMYFUNCTION("""COMPUTED_VALUE"""),"普通科")</f>
        <v>普通科</v>
      </c>
      <c r="F1022" s="9" t="str">
        <f>IFERROR(__xludf.DUMMYFUNCTION("""COMPUTED_VALUE"""),"二年級")</f>
        <v>二年級</v>
      </c>
      <c r="G1022" s="10" t="str">
        <f>IFERROR(__xludf.DUMMYFUNCTION("""COMPUTED_VALUE"""),"獎狀")</f>
        <v>獎狀</v>
      </c>
      <c r="H1022" s="9"/>
    </row>
    <row r="1023">
      <c r="A1023" s="5" t="s">
        <v>9</v>
      </c>
      <c r="B1023" s="9" t="str">
        <f>IFERROR(__xludf.DUMMYFUNCTION("""COMPUTED_VALUE"""),"盧O廷")</f>
        <v>盧O廷</v>
      </c>
      <c r="C1023" s="9" t="str">
        <f>IFERROR(__xludf.DUMMYFUNCTION("""COMPUTED_VALUE"""),"311*****hsh.cy.edu.tw")</f>
        <v>311*****hsh.cy.edu.tw</v>
      </c>
      <c r="D1023" s="9" t="str">
        <f>IFERROR(__xludf.DUMMYFUNCTION("""COMPUTED_VALUE"""),"嘉義市私立興華高級中學")</f>
        <v>嘉義市私立興華高級中學</v>
      </c>
      <c r="E1023" s="9" t="str">
        <f>IFERROR(__xludf.DUMMYFUNCTION("""COMPUTED_VALUE"""),"普通科")</f>
        <v>普通科</v>
      </c>
      <c r="F1023" s="9" t="str">
        <f>IFERROR(__xludf.DUMMYFUNCTION("""COMPUTED_VALUE"""),"二年級")</f>
        <v>二年級</v>
      </c>
      <c r="G1023" s="10" t="str">
        <f>IFERROR(__xludf.DUMMYFUNCTION("""COMPUTED_VALUE"""),"■商品卡$200")</f>
        <v>■商品卡$200</v>
      </c>
      <c r="H1023" s="9"/>
    </row>
    <row r="1024">
      <c r="A1024" s="5" t="s">
        <v>9</v>
      </c>
      <c r="B1024" s="9" t="str">
        <f>IFERROR(__xludf.DUMMYFUNCTION("""COMPUTED_VALUE"""),"張O家")</f>
        <v>張O家</v>
      </c>
      <c r="C1024" s="9" t="str">
        <f>IFERROR(__xludf.DUMMYFUNCTION("""COMPUTED_VALUE"""),"311*****hsh.cy.edu.tw")</f>
        <v>311*****hsh.cy.edu.tw</v>
      </c>
      <c r="D1024" s="9" t="str">
        <f>IFERROR(__xludf.DUMMYFUNCTION("""COMPUTED_VALUE"""),"嘉義市私立興華高級中學")</f>
        <v>嘉義市私立興華高級中學</v>
      </c>
      <c r="E1024" s="9" t="str">
        <f>IFERROR(__xludf.DUMMYFUNCTION("""COMPUTED_VALUE"""),"普通科")</f>
        <v>普通科</v>
      </c>
      <c r="F1024" s="9" t="str">
        <f>IFERROR(__xludf.DUMMYFUNCTION("""COMPUTED_VALUE"""),"二年級")</f>
        <v>二年級</v>
      </c>
      <c r="G1024" s="10" t="str">
        <f>IFERROR(__xludf.DUMMYFUNCTION("""COMPUTED_VALUE"""),"獎狀")</f>
        <v>獎狀</v>
      </c>
      <c r="H1024" s="9"/>
    </row>
    <row r="1025">
      <c r="A1025" s="5" t="s">
        <v>9</v>
      </c>
      <c r="B1025" s="9" t="str">
        <f>IFERROR(__xludf.DUMMYFUNCTION("""COMPUTED_VALUE"""),"陳O如")</f>
        <v>陳O如</v>
      </c>
      <c r="C1025" s="9" t="str">
        <f>IFERROR(__xludf.DUMMYFUNCTION("""COMPUTED_VALUE"""),"311*****hsh.cy.edu.tw")</f>
        <v>311*****hsh.cy.edu.tw</v>
      </c>
      <c r="D1025" s="9" t="str">
        <f>IFERROR(__xludf.DUMMYFUNCTION("""COMPUTED_VALUE"""),"嘉義市私立興華高級中學")</f>
        <v>嘉義市私立興華高級中學</v>
      </c>
      <c r="E1025" s="9" t="str">
        <f>IFERROR(__xludf.DUMMYFUNCTION("""COMPUTED_VALUE"""),"普通科")</f>
        <v>普通科</v>
      </c>
      <c r="F1025" s="9" t="str">
        <f>IFERROR(__xludf.DUMMYFUNCTION("""COMPUTED_VALUE"""),"二年級")</f>
        <v>二年級</v>
      </c>
      <c r="G1025" s="10" t="str">
        <f>IFERROR(__xludf.DUMMYFUNCTION("""COMPUTED_VALUE"""),"獎狀")</f>
        <v>獎狀</v>
      </c>
      <c r="H1025" s="9"/>
    </row>
    <row r="1026">
      <c r="A1026" s="5" t="s">
        <v>9</v>
      </c>
      <c r="B1026" s="9" t="str">
        <f>IFERROR(__xludf.DUMMYFUNCTION("""COMPUTED_VALUE"""),"許O晏")</f>
        <v>許O晏</v>
      </c>
      <c r="C1026" s="9" t="str">
        <f>IFERROR(__xludf.DUMMYFUNCTION("""COMPUTED_VALUE"""),"311*****hsh.cy.edu.tw")</f>
        <v>311*****hsh.cy.edu.tw</v>
      </c>
      <c r="D1026" s="9" t="str">
        <f>IFERROR(__xludf.DUMMYFUNCTION("""COMPUTED_VALUE"""),"嘉義市私立興華高級中學")</f>
        <v>嘉義市私立興華高級中學</v>
      </c>
      <c r="E1026" s="9" t="str">
        <f>IFERROR(__xludf.DUMMYFUNCTION("""COMPUTED_VALUE"""),"普通科")</f>
        <v>普通科</v>
      </c>
      <c r="F1026" s="9" t="str">
        <f>IFERROR(__xludf.DUMMYFUNCTION("""COMPUTED_VALUE"""),"二年級")</f>
        <v>二年級</v>
      </c>
      <c r="G1026" s="10" t="str">
        <f>IFERROR(__xludf.DUMMYFUNCTION("""COMPUTED_VALUE"""),"獎狀")</f>
        <v>獎狀</v>
      </c>
      <c r="H1026" s="9"/>
    </row>
    <row r="1027">
      <c r="A1027" s="5" t="s">
        <v>9</v>
      </c>
      <c r="B1027" s="9" t="str">
        <f>IFERROR(__xludf.DUMMYFUNCTION("""COMPUTED_VALUE"""),"蘇O德")</f>
        <v>蘇O德</v>
      </c>
      <c r="C1027" s="9" t="str">
        <f>IFERROR(__xludf.DUMMYFUNCTION("""COMPUTED_VALUE"""),"311*****hsh.cy.edu.tw")</f>
        <v>311*****hsh.cy.edu.tw</v>
      </c>
      <c r="D1027" s="9" t="str">
        <f>IFERROR(__xludf.DUMMYFUNCTION("""COMPUTED_VALUE"""),"嘉義市私立興華高級中學")</f>
        <v>嘉義市私立興華高級中學</v>
      </c>
      <c r="E1027" s="9" t="str">
        <f>IFERROR(__xludf.DUMMYFUNCTION("""COMPUTED_VALUE"""),"普通科")</f>
        <v>普通科</v>
      </c>
      <c r="F1027" s="9" t="str">
        <f>IFERROR(__xludf.DUMMYFUNCTION("""COMPUTED_VALUE"""),"二年級")</f>
        <v>二年級</v>
      </c>
      <c r="G1027" s="10" t="str">
        <f>IFERROR(__xludf.DUMMYFUNCTION("""COMPUTED_VALUE"""),"獎狀")</f>
        <v>獎狀</v>
      </c>
      <c r="H1027" s="9"/>
    </row>
    <row r="1028">
      <c r="A1028" s="5" t="s">
        <v>9</v>
      </c>
      <c r="B1028" s="9" t="str">
        <f>IFERROR(__xludf.DUMMYFUNCTION("""COMPUTED_VALUE"""),"單O愷")</f>
        <v>單O愷</v>
      </c>
      <c r="C1028" s="9" t="str">
        <f>IFERROR(__xludf.DUMMYFUNCTION("""COMPUTED_VALUE"""),"311*****hsh.cy.edu.tw")</f>
        <v>311*****hsh.cy.edu.tw</v>
      </c>
      <c r="D1028" s="9" t="str">
        <f>IFERROR(__xludf.DUMMYFUNCTION("""COMPUTED_VALUE"""),"嘉義市私立興華高級中學")</f>
        <v>嘉義市私立興華高級中學</v>
      </c>
      <c r="E1028" s="9" t="str">
        <f>IFERROR(__xludf.DUMMYFUNCTION("""COMPUTED_VALUE"""),"普通科")</f>
        <v>普通科</v>
      </c>
      <c r="F1028" s="9" t="str">
        <f>IFERROR(__xludf.DUMMYFUNCTION("""COMPUTED_VALUE"""),"二年級")</f>
        <v>二年級</v>
      </c>
      <c r="G1028" s="10" t="str">
        <f>IFERROR(__xludf.DUMMYFUNCTION("""COMPUTED_VALUE"""),"獎狀")</f>
        <v>獎狀</v>
      </c>
      <c r="H1028" s="9"/>
    </row>
    <row r="1029">
      <c r="A1029" s="5" t="s">
        <v>9</v>
      </c>
      <c r="B1029" s="9" t="str">
        <f>IFERROR(__xludf.DUMMYFUNCTION("""COMPUTED_VALUE"""),"林O羽")</f>
        <v>林O羽</v>
      </c>
      <c r="C1029" s="9" t="str">
        <f>IFERROR(__xludf.DUMMYFUNCTION("""COMPUTED_VALUE"""),"311*****hsh.cy.edu.tw")</f>
        <v>311*****hsh.cy.edu.tw</v>
      </c>
      <c r="D1029" s="9" t="str">
        <f>IFERROR(__xludf.DUMMYFUNCTION("""COMPUTED_VALUE"""),"嘉義市私立興華高級中學")</f>
        <v>嘉義市私立興華高級中學</v>
      </c>
      <c r="E1029" s="9" t="str">
        <f>IFERROR(__xludf.DUMMYFUNCTION("""COMPUTED_VALUE"""),"普通科")</f>
        <v>普通科</v>
      </c>
      <c r="F1029" s="9" t="str">
        <f>IFERROR(__xludf.DUMMYFUNCTION("""COMPUTED_VALUE"""),"二年級")</f>
        <v>二年級</v>
      </c>
      <c r="G1029" s="10" t="str">
        <f>IFERROR(__xludf.DUMMYFUNCTION("""COMPUTED_VALUE"""),"獎狀")</f>
        <v>獎狀</v>
      </c>
      <c r="H1029" s="9"/>
    </row>
    <row r="1030">
      <c r="A1030" s="5" t="s">
        <v>9</v>
      </c>
      <c r="B1030" s="9" t="str">
        <f>IFERROR(__xludf.DUMMYFUNCTION("""COMPUTED_VALUE"""),"郭O承")</f>
        <v>郭O承</v>
      </c>
      <c r="C1030" s="9" t="str">
        <f>IFERROR(__xludf.DUMMYFUNCTION("""COMPUTED_VALUE"""),"211*****hsh.cy.edu.tw")</f>
        <v>211*****hsh.cy.edu.tw</v>
      </c>
      <c r="D1030" s="9" t="str">
        <f>IFERROR(__xludf.DUMMYFUNCTION("""COMPUTED_VALUE"""),"嘉義市私立興華高級中學")</f>
        <v>嘉義市私立興華高級中學</v>
      </c>
      <c r="E1030" s="9" t="str">
        <f>IFERROR(__xludf.DUMMYFUNCTION("""COMPUTED_VALUE"""),"普通科")</f>
        <v>普通科</v>
      </c>
      <c r="F1030" s="9" t="str">
        <f>IFERROR(__xludf.DUMMYFUNCTION("""COMPUTED_VALUE"""),"三年級")</f>
        <v>三年級</v>
      </c>
      <c r="G1030" s="10" t="str">
        <f>IFERROR(__xludf.DUMMYFUNCTION("""COMPUTED_VALUE"""),"獎狀")</f>
        <v>獎狀</v>
      </c>
      <c r="H1030" s="9"/>
    </row>
    <row r="1031">
      <c r="A1031" s="5" t="s">
        <v>9</v>
      </c>
      <c r="B1031" s="9" t="str">
        <f>IFERROR(__xludf.DUMMYFUNCTION("""COMPUTED_VALUE"""),"廖O榕")</f>
        <v>廖O榕</v>
      </c>
      <c r="C1031" s="9" t="str">
        <f>IFERROR(__xludf.DUMMYFUNCTION("""COMPUTED_VALUE"""),"211*****hsh.cy.edu.tw")</f>
        <v>211*****hsh.cy.edu.tw</v>
      </c>
      <c r="D1031" s="9" t="str">
        <f>IFERROR(__xludf.DUMMYFUNCTION("""COMPUTED_VALUE"""),"嘉義市私立興華高級中學")</f>
        <v>嘉義市私立興華高級中學</v>
      </c>
      <c r="E1031" s="9" t="str">
        <f>IFERROR(__xludf.DUMMYFUNCTION("""COMPUTED_VALUE"""),"普通科")</f>
        <v>普通科</v>
      </c>
      <c r="F1031" s="9" t="str">
        <f>IFERROR(__xludf.DUMMYFUNCTION("""COMPUTED_VALUE"""),"三年級")</f>
        <v>三年級</v>
      </c>
      <c r="G1031" s="10" t="str">
        <f>IFERROR(__xludf.DUMMYFUNCTION("""COMPUTED_VALUE"""),"獎狀")</f>
        <v>獎狀</v>
      </c>
      <c r="H1031" s="9"/>
    </row>
    <row r="1032">
      <c r="A1032" s="5" t="s">
        <v>9</v>
      </c>
      <c r="B1032" s="9" t="str">
        <f>IFERROR(__xludf.DUMMYFUNCTION("""COMPUTED_VALUE"""),"楊O晴")</f>
        <v>楊O晴</v>
      </c>
      <c r="C1032" s="9" t="str">
        <f>IFERROR(__xludf.DUMMYFUNCTION("""COMPUTED_VALUE"""),"211*****hsh.cy.edu.tw")</f>
        <v>211*****hsh.cy.edu.tw</v>
      </c>
      <c r="D1032" s="9" t="str">
        <f>IFERROR(__xludf.DUMMYFUNCTION("""COMPUTED_VALUE"""),"嘉義市私立興華高級中學")</f>
        <v>嘉義市私立興華高級中學</v>
      </c>
      <c r="E1032" s="9" t="str">
        <f>IFERROR(__xludf.DUMMYFUNCTION("""COMPUTED_VALUE"""),"普通科")</f>
        <v>普通科</v>
      </c>
      <c r="F1032" s="9" t="str">
        <f>IFERROR(__xludf.DUMMYFUNCTION("""COMPUTED_VALUE"""),"三年級")</f>
        <v>三年級</v>
      </c>
      <c r="G1032" s="10" t="str">
        <f>IFERROR(__xludf.DUMMYFUNCTION("""COMPUTED_VALUE"""),"獎狀")</f>
        <v>獎狀</v>
      </c>
      <c r="H1032" s="9"/>
    </row>
    <row r="1033">
      <c r="A1033" s="5" t="s">
        <v>9</v>
      </c>
      <c r="B1033" s="9" t="str">
        <f>IFERROR(__xludf.DUMMYFUNCTION("""COMPUTED_VALUE"""),"林O莛")</f>
        <v>林O莛</v>
      </c>
      <c r="C1033" s="9" t="str">
        <f>IFERROR(__xludf.DUMMYFUNCTION("""COMPUTED_VALUE"""),"211*****hsh.cy.edu.tw")</f>
        <v>211*****hsh.cy.edu.tw</v>
      </c>
      <c r="D1033" s="9" t="str">
        <f>IFERROR(__xludf.DUMMYFUNCTION("""COMPUTED_VALUE"""),"嘉義市私立興華高級中學")</f>
        <v>嘉義市私立興華高級中學</v>
      </c>
      <c r="E1033" s="9" t="str">
        <f>IFERROR(__xludf.DUMMYFUNCTION("""COMPUTED_VALUE"""),"普通科")</f>
        <v>普通科</v>
      </c>
      <c r="F1033" s="9" t="str">
        <f>IFERROR(__xludf.DUMMYFUNCTION("""COMPUTED_VALUE"""),"三年級")</f>
        <v>三年級</v>
      </c>
      <c r="G1033" s="10" t="str">
        <f>IFERROR(__xludf.DUMMYFUNCTION("""COMPUTED_VALUE"""),"獎狀")</f>
        <v>獎狀</v>
      </c>
      <c r="H1033" s="9"/>
    </row>
    <row r="1034">
      <c r="A1034" s="5" t="s">
        <v>9</v>
      </c>
      <c r="B1034" s="9" t="str">
        <f>IFERROR(__xludf.DUMMYFUNCTION("""COMPUTED_VALUE"""),"何O祐")</f>
        <v>何O祐</v>
      </c>
      <c r="C1034" s="9" t="str">
        <f>IFERROR(__xludf.DUMMYFUNCTION("""COMPUTED_VALUE"""),"211*****hsh.cy.edu.tw")</f>
        <v>211*****hsh.cy.edu.tw</v>
      </c>
      <c r="D1034" s="9" t="str">
        <f>IFERROR(__xludf.DUMMYFUNCTION("""COMPUTED_VALUE"""),"嘉義市私立興華高級中學")</f>
        <v>嘉義市私立興華高級中學</v>
      </c>
      <c r="E1034" s="9" t="str">
        <f>IFERROR(__xludf.DUMMYFUNCTION("""COMPUTED_VALUE"""),"普通科")</f>
        <v>普通科</v>
      </c>
      <c r="F1034" s="9" t="str">
        <f>IFERROR(__xludf.DUMMYFUNCTION("""COMPUTED_VALUE"""),"三年級")</f>
        <v>三年級</v>
      </c>
      <c r="G1034" s="10" t="str">
        <f>IFERROR(__xludf.DUMMYFUNCTION("""COMPUTED_VALUE"""),"獎狀")</f>
        <v>獎狀</v>
      </c>
      <c r="H1034" s="9"/>
    </row>
    <row r="1035">
      <c r="A1035" s="5" t="s">
        <v>9</v>
      </c>
      <c r="B1035" s="9" t="str">
        <f>IFERROR(__xludf.DUMMYFUNCTION("""COMPUTED_VALUE"""),"劉O君")</f>
        <v>劉O君</v>
      </c>
      <c r="C1035" s="9" t="str">
        <f>IFERROR(__xludf.DUMMYFUNCTION("""COMPUTED_VALUE"""),"211*****hsh.cy.edu.tw")</f>
        <v>211*****hsh.cy.edu.tw</v>
      </c>
      <c r="D1035" s="9" t="str">
        <f>IFERROR(__xludf.DUMMYFUNCTION("""COMPUTED_VALUE"""),"嘉義市私立興華高級中學")</f>
        <v>嘉義市私立興華高級中學</v>
      </c>
      <c r="E1035" s="9" t="str">
        <f>IFERROR(__xludf.DUMMYFUNCTION("""COMPUTED_VALUE"""),"普通科")</f>
        <v>普通科</v>
      </c>
      <c r="F1035" s="9" t="str">
        <f>IFERROR(__xludf.DUMMYFUNCTION("""COMPUTED_VALUE"""),"三年級")</f>
        <v>三年級</v>
      </c>
      <c r="G1035" s="10" t="str">
        <f>IFERROR(__xludf.DUMMYFUNCTION("""COMPUTED_VALUE"""),"獎狀")</f>
        <v>獎狀</v>
      </c>
      <c r="H1035" s="9"/>
    </row>
    <row r="1036">
      <c r="A1036" s="5" t="s">
        <v>9</v>
      </c>
      <c r="B1036" s="9" t="str">
        <f>IFERROR(__xludf.DUMMYFUNCTION("""COMPUTED_VALUE"""),"林O宜")</f>
        <v>林O宜</v>
      </c>
      <c r="C1036" s="9" t="str">
        <f>IFERROR(__xludf.DUMMYFUNCTION("""COMPUTED_VALUE"""),"211*****hsh.cy.edu.tw")</f>
        <v>211*****hsh.cy.edu.tw</v>
      </c>
      <c r="D1036" s="9" t="str">
        <f>IFERROR(__xludf.DUMMYFUNCTION("""COMPUTED_VALUE"""),"嘉義市私立興華高級中學")</f>
        <v>嘉義市私立興華高級中學</v>
      </c>
      <c r="E1036" s="9" t="str">
        <f>IFERROR(__xludf.DUMMYFUNCTION("""COMPUTED_VALUE"""),"普通科")</f>
        <v>普通科</v>
      </c>
      <c r="F1036" s="9" t="str">
        <f>IFERROR(__xludf.DUMMYFUNCTION("""COMPUTED_VALUE"""),"三年級")</f>
        <v>三年級</v>
      </c>
      <c r="G1036" s="10" t="str">
        <f>IFERROR(__xludf.DUMMYFUNCTION("""COMPUTED_VALUE"""),"獎狀")</f>
        <v>獎狀</v>
      </c>
      <c r="H1036" s="9"/>
    </row>
    <row r="1037">
      <c r="A1037" s="5" t="s">
        <v>9</v>
      </c>
      <c r="B1037" s="9" t="str">
        <f>IFERROR(__xludf.DUMMYFUNCTION("""COMPUTED_VALUE"""),"鄭O源")</f>
        <v>鄭O源</v>
      </c>
      <c r="C1037" s="9" t="str">
        <f>IFERROR(__xludf.DUMMYFUNCTION("""COMPUTED_VALUE"""),"211*****hsh.cy.edu.tw")</f>
        <v>211*****hsh.cy.edu.tw</v>
      </c>
      <c r="D1037" s="9" t="str">
        <f>IFERROR(__xludf.DUMMYFUNCTION("""COMPUTED_VALUE"""),"嘉義市私立興華高級中學")</f>
        <v>嘉義市私立興華高級中學</v>
      </c>
      <c r="E1037" s="9" t="str">
        <f>IFERROR(__xludf.DUMMYFUNCTION("""COMPUTED_VALUE"""),"普通科")</f>
        <v>普通科</v>
      </c>
      <c r="F1037" s="9" t="str">
        <f>IFERROR(__xludf.DUMMYFUNCTION("""COMPUTED_VALUE"""),"三年級")</f>
        <v>三年級</v>
      </c>
      <c r="G1037" s="10" t="str">
        <f>IFERROR(__xludf.DUMMYFUNCTION("""COMPUTED_VALUE"""),"獎狀")</f>
        <v>獎狀</v>
      </c>
      <c r="H1037" s="9"/>
    </row>
    <row r="1038">
      <c r="A1038" s="5" t="s">
        <v>9</v>
      </c>
      <c r="B1038" s="9" t="str">
        <f>IFERROR(__xludf.DUMMYFUNCTION("""COMPUTED_VALUE"""),"蔡O禾")</f>
        <v>蔡O禾</v>
      </c>
      <c r="C1038" s="9" t="str">
        <f>IFERROR(__xludf.DUMMYFUNCTION("""COMPUTED_VALUE"""),"211*****hsh.cy.edu.tw")</f>
        <v>211*****hsh.cy.edu.tw</v>
      </c>
      <c r="D1038" s="9" t="str">
        <f>IFERROR(__xludf.DUMMYFUNCTION("""COMPUTED_VALUE"""),"嘉義市私立興華高級中學")</f>
        <v>嘉義市私立興華高級中學</v>
      </c>
      <c r="E1038" s="9" t="str">
        <f>IFERROR(__xludf.DUMMYFUNCTION("""COMPUTED_VALUE"""),"普通科")</f>
        <v>普通科</v>
      </c>
      <c r="F1038" s="9" t="str">
        <f>IFERROR(__xludf.DUMMYFUNCTION("""COMPUTED_VALUE"""),"三年級")</f>
        <v>三年級</v>
      </c>
      <c r="G1038" s="10" t="str">
        <f>IFERROR(__xludf.DUMMYFUNCTION("""COMPUTED_VALUE"""),"獎狀")</f>
        <v>獎狀</v>
      </c>
      <c r="H1038" s="9"/>
    </row>
    <row r="1039">
      <c r="A1039" s="5" t="s">
        <v>9</v>
      </c>
      <c r="B1039" s="9" t="str">
        <f>IFERROR(__xludf.DUMMYFUNCTION("""COMPUTED_VALUE"""),"羅O晴")</f>
        <v>羅O晴</v>
      </c>
      <c r="C1039" s="9" t="str">
        <f>IFERROR(__xludf.DUMMYFUNCTION("""COMPUTED_VALUE"""),"211*****hsh.cy.edu.tw")</f>
        <v>211*****hsh.cy.edu.tw</v>
      </c>
      <c r="D1039" s="9" t="str">
        <f>IFERROR(__xludf.DUMMYFUNCTION("""COMPUTED_VALUE"""),"嘉義市私立興華高級中學")</f>
        <v>嘉義市私立興華高級中學</v>
      </c>
      <c r="E1039" s="9" t="str">
        <f>IFERROR(__xludf.DUMMYFUNCTION("""COMPUTED_VALUE"""),"普通科")</f>
        <v>普通科</v>
      </c>
      <c r="F1039" s="9" t="str">
        <f>IFERROR(__xludf.DUMMYFUNCTION("""COMPUTED_VALUE"""),"三年級")</f>
        <v>三年級</v>
      </c>
      <c r="G1039" s="10" t="str">
        <f>IFERROR(__xludf.DUMMYFUNCTION("""COMPUTED_VALUE"""),"獎狀")</f>
        <v>獎狀</v>
      </c>
      <c r="H1039" s="9"/>
    </row>
    <row r="1040">
      <c r="A1040" s="5" t="s">
        <v>9</v>
      </c>
      <c r="B1040" s="9" t="str">
        <f>IFERROR(__xludf.DUMMYFUNCTION("""COMPUTED_VALUE"""),"蔡O囷")</f>
        <v>蔡O囷</v>
      </c>
      <c r="C1040" s="9" t="str">
        <f>IFERROR(__xludf.DUMMYFUNCTION("""COMPUTED_VALUE"""),"211*****hsh.cy.edu.tw")</f>
        <v>211*****hsh.cy.edu.tw</v>
      </c>
      <c r="D1040" s="9" t="str">
        <f>IFERROR(__xludf.DUMMYFUNCTION("""COMPUTED_VALUE"""),"嘉義市私立興華高級中學")</f>
        <v>嘉義市私立興華高級中學</v>
      </c>
      <c r="E1040" s="9" t="str">
        <f>IFERROR(__xludf.DUMMYFUNCTION("""COMPUTED_VALUE"""),"普通科")</f>
        <v>普通科</v>
      </c>
      <c r="F1040" s="9" t="str">
        <f>IFERROR(__xludf.DUMMYFUNCTION("""COMPUTED_VALUE"""),"三年級")</f>
        <v>三年級</v>
      </c>
      <c r="G1040" s="10" t="str">
        <f>IFERROR(__xludf.DUMMYFUNCTION("""COMPUTED_VALUE"""),"★商品卡$1000")</f>
        <v>★商品卡$1000</v>
      </c>
      <c r="H1040" s="9"/>
    </row>
    <row r="1041">
      <c r="A1041" s="5" t="s">
        <v>9</v>
      </c>
      <c r="B1041" s="9" t="str">
        <f>IFERROR(__xludf.DUMMYFUNCTION("""COMPUTED_VALUE"""),"李O淵")</f>
        <v>李O淵</v>
      </c>
      <c r="C1041" s="9" t="str">
        <f>IFERROR(__xludf.DUMMYFUNCTION("""COMPUTED_VALUE"""),"211*****hsh.cy.edu.tw")</f>
        <v>211*****hsh.cy.edu.tw</v>
      </c>
      <c r="D1041" s="9" t="str">
        <f>IFERROR(__xludf.DUMMYFUNCTION("""COMPUTED_VALUE"""),"嘉義市私立興華高級中學")</f>
        <v>嘉義市私立興華高級中學</v>
      </c>
      <c r="E1041" s="9" t="str">
        <f>IFERROR(__xludf.DUMMYFUNCTION("""COMPUTED_VALUE"""),"普通科")</f>
        <v>普通科</v>
      </c>
      <c r="F1041" s="9" t="str">
        <f>IFERROR(__xludf.DUMMYFUNCTION("""COMPUTED_VALUE"""),"三年級")</f>
        <v>三年級</v>
      </c>
      <c r="G1041" s="10" t="str">
        <f>IFERROR(__xludf.DUMMYFUNCTION("""COMPUTED_VALUE"""),"獎狀")</f>
        <v>獎狀</v>
      </c>
      <c r="H1041" s="9"/>
    </row>
    <row r="1042">
      <c r="A1042" s="5" t="s">
        <v>9</v>
      </c>
      <c r="B1042" s="9" t="str">
        <f>IFERROR(__xludf.DUMMYFUNCTION("""COMPUTED_VALUE"""),"江O祐")</f>
        <v>江O祐</v>
      </c>
      <c r="C1042" s="9" t="str">
        <f>IFERROR(__xludf.DUMMYFUNCTION("""COMPUTED_VALUE"""),"211*****hsh.cy.edu.tw")</f>
        <v>211*****hsh.cy.edu.tw</v>
      </c>
      <c r="D1042" s="9" t="str">
        <f>IFERROR(__xludf.DUMMYFUNCTION("""COMPUTED_VALUE"""),"嘉義市私立興華高級中學")</f>
        <v>嘉義市私立興華高級中學</v>
      </c>
      <c r="E1042" s="9" t="str">
        <f>IFERROR(__xludf.DUMMYFUNCTION("""COMPUTED_VALUE"""),"普通科")</f>
        <v>普通科</v>
      </c>
      <c r="F1042" s="9" t="str">
        <f>IFERROR(__xludf.DUMMYFUNCTION("""COMPUTED_VALUE"""),"三年級")</f>
        <v>三年級</v>
      </c>
      <c r="G1042" s="10" t="str">
        <f>IFERROR(__xludf.DUMMYFUNCTION("""COMPUTED_VALUE"""),"獎狀")</f>
        <v>獎狀</v>
      </c>
      <c r="H1042" s="9"/>
    </row>
    <row r="1043">
      <c r="A1043" s="5" t="s">
        <v>9</v>
      </c>
      <c r="B1043" s="9" t="str">
        <f>IFERROR(__xludf.DUMMYFUNCTION("""COMPUTED_VALUE"""),"林O彤")</f>
        <v>林O彤</v>
      </c>
      <c r="C1043" s="9" t="str">
        <f>IFERROR(__xludf.DUMMYFUNCTION("""COMPUTED_VALUE"""),"211*****hsh.cy.edu.tw")</f>
        <v>211*****hsh.cy.edu.tw</v>
      </c>
      <c r="D1043" s="9" t="str">
        <f>IFERROR(__xludf.DUMMYFUNCTION("""COMPUTED_VALUE"""),"嘉義市私立興華高級中學")</f>
        <v>嘉義市私立興華高級中學</v>
      </c>
      <c r="E1043" s="9" t="str">
        <f>IFERROR(__xludf.DUMMYFUNCTION("""COMPUTED_VALUE"""),"普通科")</f>
        <v>普通科</v>
      </c>
      <c r="F1043" s="9" t="str">
        <f>IFERROR(__xludf.DUMMYFUNCTION("""COMPUTED_VALUE"""),"三年級")</f>
        <v>三年級</v>
      </c>
      <c r="G1043" s="10" t="str">
        <f>IFERROR(__xludf.DUMMYFUNCTION("""COMPUTED_VALUE"""),"獎狀")</f>
        <v>獎狀</v>
      </c>
      <c r="H1043" s="9"/>
    </row>
    <row r="1044">
      <c r="A1044" s="5" t="s">
        <v>9</v>
      </c>
      <c r="B1044" s="9" t="str">
        <f>IFERROR(__xludf.DUMMYFUNCTION("""COMPUTED_VALUE"""),"侯O丞")</f>
        <v>侯O丞</v>
      </c>
      <c r="C1044" s="9" t="str">
        <f>IFERROR(__xludf.DUMMYFUNCTION("""COMPUTED_VALUE"""),"kua*****@gmail.com")</f>
        <v>kua*****@gmail.com</v>
      </c>
      <c r="D1044" s="9" t="str">
        <f>IFERROR(__xludf.DUMMYFUNCTION("""COMPUTED_VALUE"""),"嘉義市私立興華高級中學")</f>
        <v>嘉義市私立興華高級中學</v>
      </c>
      <c r="E1044" s="9" t="str">
        <f>IFERROR(__xludf.DUMMYFUNCTION("""COMPUTED_VALUE"""),"普通科")</f>
        <v>普通科</v>
      </c>
      <c r="F1044" s="9" t="str">
        <f>IFERROR(__xludf.DUMMYFUNCTION("""COMPUTED_VALUE"""),"三年級")</f>
        <v>三年級</v>
      </c>
      <c r="G1044" s="10" t="str">
        <f>IFERROR(__xludf.DUMMYFUNCTION("""COMPUTED_VALUE"""),"獎狀")</f>
        <v>獎狀</v>
      </c>
      <c r="H1044" s="9"/>
    </row>
    <row r="1045">
      <c r="A1045" s="5" t="s">
        <v>9</v>
      </c>
      <c r="B1045" s="9" t="str">
        <f>IFERROR(__xludf.DUMMYFUNCTION("""COMPUTED_VALUE"""),"賴O淇")</f>
        <v>賴O淇</v>
      </c>
      <c r="C1045" s="9" t="str">
        <f>IFERROR(__xludf.DUMMYFUNCTION("""COMPUTED_VALUE"""),"211*****hsh.cy.edu.tw")</f>
        <v>211*****hsh.cy.edu.tw</v>
      </c>
      <c r="D1045" s="9" t="str">
        <f>IFERROR(__xludf.DUMMYFUNCTION("""COMPUTED_VALUE"""),"嘉義市私立興華高級中學")</f>
        <v>嘉義市私立興華高級中學</v>
      </c>
      <c r="E1045" s="9" t="str">
        <f>IFERROR(__xludf.DUMMYFUNCTION("""COMPUTED_VALUE"""),"普通科")</f>
        <v>普通科</v>
      </c>
      <c r="F1045" s="9" t="str">
        <f>IFERROR(__xludf.DUMMYFUNCTION("""COMPUTED_VALUE"""),"三年級")</f>
        <v>三年級</v>
      </c>
      <c r="G1045" s="10" t="str">
        <f>IFERROR(__xludf.DUMMYFUNCTION("""COMPUTED_VALUE"""),"獎狀")</f>
        <v>獎狀</v>
      </c>
      <c r="H1045" s="9"/>
    </row>
    <row r="1046">
      <c r="A1046" s="5" t="s">
        <v>9</v>
      </c>
      <c r="B1046" s="9" t="str">
        <f>IFERROR(__xludf.DUMMYFUNCTION("""COMPUTED_VALUE"""),"張O軒")</f>
        <v>張O軒</v>
      </c>
      <c r="C1046" s="9" t="str">
        <f>IFERROR(__xludf.DUMMYFUNCTION("""COMPUTED_VALUE"""),"211*****hsh.cy.edu.tw")</f>
        <v>211*****hsh.cy.edu.tw</v>
      </c>
      <c r="D1046" s="9" t="str">
        <f>IFERROR(__xludf.DUMMYFUNCTION("""COMPUTED_VALUE"""),"嘉義市私立興華高級中學")</f>
        <v>嘉義市私立興華高級中學</v>
      </c>
      <c r="E1046" s="9" t="str">
        <f>IFERROR(__xludf.DUMMYFUNCTION("""COMPUTED_VALUE"""),"普通科")</f>
        <v>普通科</v>
      </c>
      <c r="F1046" s="9" t="str">
        <f>IFERROR(__xludf.DUMMYFUNCTION("""COMPUTED_VALUE"""),"三年級")</f>
        <v>三年級</v>
      </c>
      <c r="G1046" s="10" t="str">
        <f>IFERROR(__xludf.DUMMYFUNCTION("""COMPUTED_VALUE"""),"獎狀")</f>
        <v>獎狀</v>
      </c>
      <c r="H1046" s="11"/>
    </row>
    <row r="1047">
      <c r="A1047" s="5" t="s">
        <v>9</v>
      </c>
      <c r="B1047" s="9" t="str">
        <f>IFERROR(__xludf.DUMMYFUNCTION("""COMPUTED_VALUE"""),"張O婷")</f>
        <v>張O婷</v>
      </c>
      <c r="C1047" s="9" t="str">
        <f>IFERROR(__xludf.DUMMYFUNCTION("""COMPUTED_VALUE"""),"105*****app.paes.cy.edu.tw")</f>
        <v>105*****app.paes.cy.edu.tw</v>
      </c>
      <c r="D1047" s="9" t="str">
        <f>IFERROR(__xludf.DUMMYFUNCTION("""COMPUTED_VALUE"""),"嘉義縣立竹崎高級中學")</f>
        <v>嘉義縣立竹崎高級中學</v>
      </c>
      <c r="E1047" s="9" t="str">
        <f>IFERROR(__xludf.DUMMYFUNCTION("""COMPUTED_VALUE"""),"普通科")</f>
        <v>普通科</v>
      </c>
      <c r="F1047" s="9" t="str">
        <f>IFERROR(__xludf.DUMMYFUNCTION("""COMPUTED_VALUE"""),"一年級")</f>
        <v>一年級</v>
      </c>
      <c r="G1047" s="10" t="str">
        <f>IFERROR(__xludf.DUMMYFUNCTION("""COMPUTED_VALUE"""),"獎狀")</f>
        <v>獎狀</v>
      </c>
      <c r="H1047" s="11" t="str">
        <f>IFERROR(__xludf.DUMMYFUNCTION("""COMPUTED_VALUE"""),"學籍資料不齊，請提供【就讀班級】")</f>
        <v>學籍資料不齊，請提供【就讀班級】</v>
      </c>
    </row>
    <row r="1048">
      <c r="A1048" s="5" t="s">
        <v>9</v>
      </c>
      <c r="B1048" s="9" t="str">
        <f>IFERROR(__xludf.DUMMYFUNCTION("""COMPUTED_VALUE"""),"侯O傑")</f>
        <v>侯O傑</v>
      </c>
      <c r="C1048" s="9" t="str">
        <f>IFERROR(__xludf.DUMMYFUNCTION("""COMPUTED_VALUE"""),"sht*****02@mail.edu.tw")</f>
        <v>sht*****02@mail.edu.tw</v>
      </c>
      <c r="D1048" s="9" t="str">
        <f>IFERROR(__xludf.DUMMYFUNCTION("""COMPUTED_VALUE"""),"嘉義縣立永慶高級中學")</f>
        <v>嘉義縣立永慶高級中學</v>
      </c>
      <c r="E1048" s="9" t="str">
        <f>IFERROR(__xludf.DUMMYFUNCTION("""COMPUTED_VALUE"""),"普通科")</f>
        <v>普通科</v>
      </c>
      <c r="F1048" s="9" t="str">
        <f>IFERROR(__xludf.DUMMYFUNCTION("""COMPUTED_VALUE"""),"一年級")</f>
        <v>一年級</v>
      </c>
      <c r="G1048" s="10" t="str">
        <f>IFERROR(__xludf.DUMMYFUNCTION("""COMPUTED_VALUE"""),"獎狀")</f>
        <v>獎狀</v>
      </c>
      <c r="H1048" s="11" t="str">
        <f>IFERROR(__xludf.DUMMYFUNCTION("""COMPUTED_VALUE"""),"學籍資料不齊，請提供【就讀班級】")</f>
        <v>學籍資料不齊，請提供【就讀班級】</v>
      </c>
    </row>
    <row r="1049">
      <c r="A1049" s="5" t="s">
        <v>9</v>
      </c>
      <c r="B1049" s="9" t="str">
        <f>IFERROR(__xludf.DUMMYFUNCTION("""COMPUTED_VALUE"""),"楊O綸")</f>
        <v>楊O綸</v>
      </c>
      <c r="C1049" s="9" t="str">
        <f>IFERROR(__xludf.DUMMYFUNCTION("""COMPUTED_VALUE"""),"h31*****nehs.cyc.edu.tw")</f>
        <v>h31*****nehs.cyc.edu.tw</v>
      </c>
      <c r="D1049" s="9" t="str">
        <f>IFERROR(__xludf.DUMMYFUNCTION("""COMPUTED_VALUE"""),"國立嘉科實驗高級中等學校")</f>
        <v>國立嘉科實驗高級中等學校</v>
      </c>
      <c r="E1049" s="9" t="str">
        <f>IFERROR(__xludf.DUMMYFUNCTION("""COMPUTED_VALUE"""),"普通科")</f>
        <v>普通科</v>
      </c>
      <c r="F1049" s="9" t="str">
        <f>IFERROR(__xludf.DUMMYFUNCTION("""COMPUTED_VALUE"""),"一年級")</f>
        <v>一年級</v>
      </c>
      <c r="G1049" s="10" t="str">
        <f>IFERROR(__xludf.DUMMYFUNCTION("""COMPUTED_VALUE"""),"獎狀")</f>
        <v>獎狀</v>
      </c>
      <c r="H1049" s="9"/>
    </row>
    <row r="1050">
      <c r="A1050" s="5" t="s">
        <v>9</v>
      </c>
      <c r="B1050" s="9" t="str">
        <f>IFERROR(__xludf.DUMMYFUNCTION("""COMPUTED_VALUE"""),"蘇O欽")</f>
        <v>蘇O欽</v>
      </c>
      <c r="C1050" s="9" t="str">
        <f>IFERROR(__xludf.DUMMYFUNCTION("""COMPUTED_VALUE"""),"h31*****nehs.cyc.edu.tw")</f>
        <v>h31*****nehs.cyc.edu.tw</v>
      </c>
      <c r="D1050" s="9" t="str">
        <f>IFERROR(__xludf.DUMMYFUNCTION("""COMPUTED_VALUE"""),"國立嘉科實驗高級中等學校")</f>
        <v>國立嘉科實驗高級中等學校</v>
      </c>
      <c r="E1050" s="9" t="str">
        <f>IFERROR(__xludf.DUMMYFUNCTION("""COMPUTED_VALUE"""),"普通科")</f>
        <v>普通科</v>
      </c>
      <c r="F1050" s="9" t="str">
        <f>IFERROR(__xludf.DUMMYFUNCTION("""COMPUTED_VALUE"""),"一年級")</f>
        <v>一年級</v>
      </c>
      <c r="G1050" s="10" t="str">
        <f>IFERROR(__xludf.DUMMYFUNCTION("""COMPUTED_VALUE"""),"獎狀")</f>
        <v>獎狀</v>
      </c>
      <c r="H1050" s="9"/>
    </row>
    <row r="1051">
      <c r="A1051" s="5" t="s">
        <v>9</v>
      </c>
      <c r="B1051" s="9" t="str">
        <f>IFERROR(__xludf.DUMMYFUNCTION("""COMPUTED_VALUE"""),"林O芸")</f>
        <v>林O芸</v>
      </c>
      <c r="C1051" s="9" t="str">
        <f>IFERROR(__xludf.DUMMYFUNCTION("""COMPUTED_VALUE"""),"h31*****nehs.cyc.edu.tw")</f>
        <v>h31*****nehs.cyc.edu.tw</v>
      </c>
      <c r="D1051" s="9" t="str">
        <f>IFERROR(__xludf.DUMMYFUNCTION("""COMPUTED_VALUE"""),"國立嘉科實驗高級中等學校")</f>
        <v>國立嘉科實驗高級中等學校</v>
      </c>
      <c r="E1051" s="9" t="str">
        <f>IFERROR(__xludf.DUMMYFUNCTION("""COMPUTED_VALUE"""),"普通科")</f>
        <v>普通科</v>
      </c>
      <c r="F1051" s="9" t="str">
        <f>IFERROR(__xludf.DUMMYFUNCTION("""COMPUTED_VALUE"""),"一年級")</f>
        <v>一年級</v>
      </c>
      <c r="G1051" s="10" t="str">
        <f>IFERROR(__xludf.DUMMYFUNCTION("""COMPUTED_VALUE"""),"獎狀")</f>
        <v>獎狀</v>
      </c>
      <c r="H1051" s="9"/>
    </row>
    <row r="1052">
      <c r="A1052" s="5" t="s">
        <v>9</v>
      </c>
      <c r="B1052" s="9" t="str">
        <f>IFERROR(__xludf.DUMMYFUNCTION("""COMPUTED_VALUE"""),"陳O柔")</f>
        <v>陳O柔</v>
      </c>
      <c r="C1052" s="9" t="str">
        <f>IFERROR(__xludf.DUMMYFUNCTION("""COMPUTED_VALUE"""),"h31*****nehs.cyc.edu.tw")</f>
        <v>h31*****nehs.cyc.edu.tw</v>
      </c>
      <c r="D1052" s="9" t="str">
        <f>IFERROR(__xludf.DUMMYFUNCTION("""COMPUTED_VALUE"""),"國立嘉科實驗高級中等學校")</f>
        <v>國立嘉科實驗高級中等學校</v>
      </c>
      <c r="E1052" s="9" t="str">
        <f>IFERROR(__xludf.DUMMYFUNCTION("""COMPUTED_VALUE"""),"普通科")</f>
        <v>普通科</v>
      </c>
      <c r="F1052" s="9" t="str">
        <f>IFERROR(__xludf.DUMMYFUNCTION("""COMPUTED_VALUE"""),"一年級")</f>
        <v>一年級</v>
      </c>
      <c r="G1052" s="10" t="str">
        <f>IFERROR(__xludf.DUMMYFUNCTION("""COMPUTED_VALUE"""),"獎狀")</f>
        <v>獎狀</v>
      </c>
      <c r="H1052" s="9"/>
    </row>
    <row r="1053">
      <c r="A1053" s="5" t="s">
        <v>9</v>
      </c>
      <c r="B1053" s="9" t="str">
        <f>IFERROR(__xludf.DUMMYFUNCTION("""COMPUTED_VALUE"""),"江O宸")</f>
        <v>江O宸</v>
      </c>
      <c r="C1053" s="9" t="str">
        <f>IFERROR(__xludf.DUMMYFUNCTION("""COMPUTED_VALUE"""),"h31*****nehs.cyc.edu.tw")</f>
        <v>h31*****nehs.cyc.edu.tw</v>
      </c>
      <c r="D1053" s="9" t="str">
        <f>IFERROR(__xludf.DUMMYFUNCTION("""COMPUTED_VALUE"""),"國立嘉科實驗高級中等學校")</f>
        <v>國立嘉科實驗高級中等學校</v>
      </c>
      <c r="E1053" s="9" t="str">
        <f>IFERROR(__xludf.DUMMYFUNCTION("""COMPUTED_VALUE"""),"普通科")</f>
        <v>普通科</v>
      </c>
      <c r="F1053" s="9" t="str">
        <f>IFERROR(__xludf.DUMMYFUNCTION("""COMPUTED_VALUE"""),"一年級")</f>
        <v>一年級</v>
      </c>
      <c r="G1053" s="10" t="str">
        <f>IFERROR(__xludf.DUMMYFUNCTION("""COMPUTED_VALUE"""),"獎狀")</f>
        <v>獎狀</v>
      </c>
      <c r="H1053" s="9"/>
    </row>
    <row r="1054">
      <c r="A1054" s="5" t="s">
        <v>9</v>
      </c>
      <c r="B1054" s="9" t="str">
        <f>IFERROR(__xludf.DUMMYFUNCTION("""COMPUTED_VALUE"""),"張O喻")</f>
        <v>張O喻</v>
      </c>
      <c r="C1054" s="9" t="str">
        <f>IFERROR(__xludf.DUMMYFUNCTION("""COMPUTED_VALUE"""),"h31*****nehs.cyc.edu.tw")</f>
        <v>h31*****nehs.cyc.edu.tw</v>
      </c>
      <c r="D1054" s="9" t="str">
        <f>IFERROR(__xludf.DUMMYFUNCTION("""COMPUTED_VALUE"""),"國立嘉科實驗高級中等學校")</f>
        <v>國立嘉科實驗高級中等學校</v>
      </c>
      <c r="E1054" s="9" t="str">
        <f>IFERROR(__xludf.DUMMYFUNCTION("""COMPUTED_VALUE"""),"普通科")</f>
        <v>普通科</v>
      </c>
      <c r="F1054" s="9" t="str">
        <f>IFERROR(__xludf.DUMMYFUNCTION("""COMPUTED_VALUE"""),"一年級")</f>
        <v>一年級</v>
      </c>
      <c r="G1054" s="10" t="str">
        <f>IFERROR(__xludf.DUMMYFUNCTION("""COMPUTED_VALUE"""),"獎狀")</f>
        <v>獎狀</v>
      </c>
      <c r="H1054" s="9"/>
    </row>
    <row r="1055">
      <c r="A1055" s="5" t="s">
        <v>9</v>
      </c>
      <c r="B1055" s="9" t="str">
        <f>IFERROR(__xludf.DUMMYFUNCTION("""COMPUTED_VALUE"""),"許O熙")</f>
        <v>許O熙</v>
      </c>
      <c r="C1055" s="9" t="str">
        <f>IFERROR(__xludf.DUMMYFUNCTION("""COMPUTED_VALUE"""),"h31*****nehs.cyc.edu.tw")</f>
        <v>h31*****nehs.cyc.edu.tw</v>
      </c>
      <c r="D1055" s="9" t="str">
        <f>IFERROR(__xludf.DUMMYFUNCTION("""COMPUTED_VALUE"""),"國立嘉科實驗高級中等學校")</f>
        <v>國立嘉科實驗高級中等學校</v>
      </c>
      <c r="E1055" s="9" t="str">
        <f>IFERROR(__xludf.DUMMYFUNCTION("""COMPUTED_VALUE"""),"普通科")</f>
        <v>普通科</v>
      </c>
      <c r="F1055" s="9" t="str">
        <f>IFERROR(__xludf.DUMMYFUNCTION("""COMPUTED_VALUE"""),"一年級")</f>
        <v>一年級</v>
      </c>
      <c r="G1055" s="10" t="str">
        <f>IFERROR(__xludf.DUMMYFUNCTION("""COMPUTED_VALUE"""),"獎狀")</f>
        <v>獎狀</v>
      </c>
      <c r="H1055" s="9"/>
    </row>
    <row r="1056">
      <c r="A1056" s="5" t="s">
        <v>9</v>
      </c>
      <c r="B1056" s="9" t="str">
        <f>IFERROR(__xludf.DUMMYFUNCTION("""COMPUTED_VALUE"""),"林O宜")</f>
        <v>林O宜</v>
      </c>
      <c r="C1056" s="9" t="str">
        <f>IFERROR(__xludf.DUMMYFUNCTION("""COMPUTED_VALUE"""),"h31*****nehs.cyc.edu.tw")</f>
        <v>h31*****nehs.cyc.edu.tw</v>
      </c>
      <c r="D1056" s="9" t="str">
        <f>IFERROR(__xludf.DUMMYFUNCTION("""COMPUTED_VALUE"""),"國立嘉科實驗高級中等學校")</f>
        <v>國立嘉科實驗高級中等學校</v>
      </c>
      <c r="E1056" s="9" t="str">
        <f>IFERROR(__xludf.DUMMYFUNCTION("""COMPUTED_VALUE"""),"普通科")</f>
        <v>普通科</v>
      </c>
      <c r="F1056" s="9" t="str">
        <f>IFERROR(__xludf.DUMMYFUNCTION("""COMPUTED_VALUE"""),"一年級")</f>
        <v>一年級</v>
      </c>
      <c r="G1056" s="10" t="str">
        <f>IFERROR(__xludf.DUMMYFUNCTION("""COMPUTED_VALUE"""),"獎狀")</f>
        <v>獎狀</v>
      </c>
      <c r="H1056" s="9"/>
    </row>
    <row r="1057">
      <c r="A1057" s="5" t="s">
        <v>9</v>
      </c>
      <c r="B1057" s="9" t="str">
        <f>IFERROR(__xludf.DUMMYFUNCTION("""COMPUTED_VALUE"""),"洪O茜")</f>
        <v>洪O茜</v>
      </c>
      <c r="C1057" s="9" t="str">
        <f>IFERROR(__xludf.DUMMYFUNCTION("""COMPUTED_VALUE"""),"h31*****nehs.cyc.edu.tw")</f>
        <v>h31*****nehs.cyc.edu.tw</v>
      </c>
      <c r="D1057" s="9" t="str">
        <f>IFERROR(__xludf.DUMMYFUNCTION("""COMPUTED_VALUE"""),"國立嘉科實驗高級中等學校")</f>
        <v>國立嘉科實驗高級中等學校</v>
      </c>
      <c r="E1057" s="9" t="str">
        <f>IFERROR(__xludf.DUMMYFUNCTION("""COMPUTED_VALUE"""),"普通科")</f>
        <v>普通科</v>
      </c>
      <c r="F1057" s="9" t="str">
        <f>IFERROR(__xludf.DUMMYFUNCTION("""COMPUTED_VALUE"""),"一年級")</f>
        <v>一年級</v>
      </c>
      <c r="G1057" s="10" t="str">
        <f>IFERROR(__xludf.DUMMYFUNCTION("""COMPUTED_VALUE"""),"獎狀")</f>
        <v>獎狀</v>
      </c>
      <c r="H1057" s="9"/>
    </row>
    <row r="1058">
      <c r="A1058" s="5" t="s">
        <v>9</v>
      </c>
      <c r="B1058" s="9" t="str">
        <f>IFERROR(__xludf.DUMMYFUNCTION("""COMPUTED_VALUE"""),"李O霖")</f>
        <v>李O霖</v>
      </c>
      <c r="C1058" s="9" t="str">
        <f>IFERROR(__xludf.DUMMYFUNCTION("""COMPUTED_VALUE"""),"h31*****nehs.cyc.edu.tw")</f>
        <v>h31*****nehs.cyc.edu.tw</v>
      </c>
      <c r="D1058" s="9" t="str">
        <f>IFERROR(__xludf.DUMMYFUNCTION("""COMPUTED_VALUE"""),"國立嘉科實驗高級中等學校")</f>
        <v>國立嘉科實驗高級中等學校</v>
      </c>
      <c r="E1058" s="9" t="str">
        <f>IFERROR(__xludf.DUMMYFUNCTION("""COMPUTED_VALUE"""),"普通科")</f>
        <v>普通科</v>
      </c>
      <c r="F1058" s="9" t="str">
        <f>IFERROR(__xludf.DUMMYFUNCTION("""COMPUTED_VALUE"""),"一年級")</f>
        <v>一年級</v>
      </c>
      <c r="G1058" s="10" t="str">
        <f>IFERROR(__xludf.DUMMYFUNCTION("""COMPUTED_VALUE"""),"獎狀")</f>
        <v>獎狀</v>
      </c>
      <c r="H1058" s="9"/>
    </row>
    <row r="1059">
      <c r="A1059" s="5" t="s">
        <v>9</v>
      </c>
      <c r="B1059" s="9" t="str">
        <f>IFERROR(__xludf.DUMMYFUNCTION("""COMPUTED_VALUE"""),"黃O玹")</f>
        <v>黃O玹</v>
      </c>
      <c r="C1059" s="9" t="str">
        <f>IFERROR(__xludf.DUMMYFUNCTION("""COMPUTED_VALUE"""),"h31*****nehs.cyc.edu.tw")</f>
        <v>h31*****nehs.cyc.edu.tw</v>
      </c>
      <c r="D1059" s="9" t="str">
        <f>IFERROR(__xludf.DUMMYFUNCTION("""COMPUTED_VALUE"""),"國立嘉科實驗高級中等學校")</f>
        <v>國立嘉科實驗高級中等學校</v>
      </c>
      <c r="E1059" s="9" t="str">
        <f>IFERROR(__xludf.DUMMYFUNCTION("""COMPUTED_VALUE"""),"普通科")</f>
        <v>普通科</v>
      </c>
      <c r="F1059" s="9" t="str">
        <f>IFERROR(__xludf.DUMMYFUNCTION("""COMPUTED_VALUE"""),"一年級")</f>
        <v>一年級</v>
      </c>
      <c r="G1059" s="10" t="str">
        <f>IFERROR(__xludf.DUMMYFUNCTION("""COMPUTED_VALUE"""),"獎狀")</f>
        <v>獎狀</v>
      </c>
      <c r="H1059" s="9"/>
    </row>
    <row r="1060">
      <c r="A1060" s="5" t="s">
        <v>9</v>
      </c>
      <c r="B1060" s="9" t="str">
        <f>IFERROR(__xludf.DUMMYFUNCTION("""COMPUTED_VALUE"""),"李O翰")</f>
        <v>李O翰</v>
      </c>
      <c r="C1060" s="9" t="str">
        <f>IFERROR(__xludf.DUMMYFUNCTION("""COMPUTED_VALUE"""),"h31*****nehs.cyc.edu.tw")</f>
        <v>h31*****nehs.cyc.edu.tw</v>
      </c>
      <c r="D1060" s="9" t="str">
        <f>IFERROR(__xludf.DUMMYFUNCTION("""COMPUTED_VALUE"""),"國立嘉科實驗高級中等學校")</f>
        <v>國立嘉科實驗高級中等學校</v>
      </c>
      <c r="E1060" s="9" t="str">
        <f>IFERROR(__xludf.DUMMYFUNCTION("""COMPUTED_VALUE"""),"普通科")</f>
        <v>普通科</v>
      </c>
      <c r="F1060" s="9" t="str">
        <f>IFERROR(__xludf.DUMMYFUNCTION("""COMPUTED_VALUE"""),"一年級")</f>
        <v>一年級</v>
      </c>
      <c r="G1060" s="10" t="str">
        <f>IFERROR(__xludf.DUMMYFUNCTION("""COMPUTED_VALUE"""),"獎狀")</f>
        <v>獎狀</v>
      </c>
      <c r="H1060" s="9"/>
    </row>
    <row r="1061">
      <c r="A1061" s="5" t="s">
        <v>9</v>
      </c>
      <c r="B1061" s="9" t="str">
        <f>IFERROR(__xludf.DUMMYFUNCTION("""COMPUTED_VALUE"""),"羅O喬")</f>
        <v>羅O喬</v>
      </c>
      <c r="C1061" s="9" t="str">
        <f>IFERROR(__xludf.DUMMYFUNCTION("""COMPUTED_VALUE"""),"h31*****nehs.cyc.edu.tw")</f>
        <v>h31*****nehs.cyc.edu.tw</v>
      </c>
      <c r="D1061" s="9" t="str">
        <f>IFERROR(__xludf.DUMMYFUNCTION("""COMPUTED_VALUE"""),"國立嘉科實驗高級中等學校")</f>
        <v>國立嘉科實驗高級中等學校</v>
      </c>
      <c r="E1061" s="9" t="str">
        <f>IFERROR(__xludf.DUMMYFUNCTION("""COMPUTED_VALUE"""),"普通科")</f>
        <v>普通科</v>
      </c>
      <c r="F1061" s="9" t="str">
        <f>IFERROR(__xludf.DUMMYFUNCTION("""COMPUTED_VALUE"""),"一年級")</f>
        <v>一年級</v>
      </c>
      <c r="G1061" s="10" t="str">
        <f>IFERROR(__xludf.DUMMYFUNCTION("""COMPUTED_VALUE"""),"獎狀")</f>
        <v>獎狀</v>
      </c>
      <c r="H1061" s="9"/>
    </row>
    <row r="1062">
      <c r="A1062" s="5" t="s">
        <v>9</v>
      </c>
      <c r="B1062" s="9" t="str">
        <f>IFERROR(__xludf.DUMMYFUNCTION("""COMPUTED_VALUE"""),"洪O琪")</f>
        <v>洪O琪</v>
      </c>
      <c r="C1062" s="9" t="str">
        <f>IFERROR(__xludf.DUMMYFUNCTION("""COMPUTED_VALUE"""),"h31*****nehs.cyc.edu.tw")</f>
        <v>h31*****nehs.cyc.edu.tw</v>
      </c>
      <c r="D1062" s="9" t="str">
        <f>IFERROR(__xludf.DUMMYFUNCTION("""COMPUTED_VALUE"""),"國立嘉科實驗高級中等學校")</f>
        <v>國立嘉科實驗高級中等學校</v>
      </c>
      <c r="E1062" s="9" t="str">
        <f>IFERROR(__xludf.DUMMYFUNCTION("""COMPUTED_VALUE"""),"普通科")</f>
        <v>普通科</v>
      </c>
      <c r="F1062" s="9" t="str">
        <f>IFERROR(__xludf.DUMMYFUNCTION("""COMPUTED_VALUE"""),"一年級")</f>
        <v>一年級</v>
      </c>
      <c r="G1062" s="10" t="str">
        <f>IFERROR(__xludf.DUMMYFUNCTION("""COMPUTED_VALUE"""),"獎狀")</f>
        <v>獎狀</v>
      </c>
      <c r="H1062" s="9"/>
    </row>
    <row r="1063">
      <c r="A1063" s="5" t="s">
        <v>9</v>
      </c>
      <c r="B1063" s="9" t="str">
        <f>IFERROR(__xludf.DUMMYFUNCTION("""COMPUTED_VALUE"""),"鄭O恩")</f>
        <v>鄭O恩</v>
      </c>
      <c r="C1063" s="9" t="str">
        <f>IFERROR(__xludf.DUMMYFUNCTION("""COMPUTED_VALUE"""),"h31*****nehs.cyc.edu.tw")</f>
        <v>h31*****nehs.cyc.edu.tw</v>
      </c>
      <c r="D1063" s="9" t="str">
        <f>IFERROR(__xludf.DUMMYFUNCTION("""COMPUTED_VALUE"""),"國立嘉科實驗高級中等學校")</f>
        <v>國立嘉科實驗高級中等學校</v>
      </c>
      <c r="E1063" s="9" t="str">
        <f>IFERROR(__xludf.DUMMYFUNCTION("""COMPUTED_VALUE"""),"普通科")</f>
        <v>普通科</v>
      </c>
      <c r="F1063" s="9" t="str">
        <f>IFERROR(__xludf.DUMMYFUNCTION("""COMPUTED_VALUE"""),"一年級")</f>
        <v>一年級</v>
      </c>
      <c r="G1063" s="10" t="str">
        <f>IFERROR(__xludf.DUMMYFUNCTION("""COMPUTED_VALUE"""),"獎狀")</f>
        <v>獎狀</v>
      </c>
      <c r="H1063" s="9"/>
    </row>
    <row r="1064">
      <c r="A1064" s="5" t="s">
        <v>9</v>
      </c>
      <c r="B1064" s="9" t="str">
        <f>IFERROR(__xludf.DUMMYFUNCTION("""COMPUTED_VALUE"""),"陳O妤")</f>
        <v>陳O妤</v>
      </c>
      <c r="C1064" s="9" t="str">
        <f>IFERROR(__xludf.DUMMYFUNCTION("""COMPUTED_VALUE"""),"h31*****nehs.cyc.edu.tw")</f>
        <v>h31*****nehs.cyc.edu.tw</v>
      </c>
      <c r="D1064" s="9" t="str">
        <f>IFERROR(__xludf.DUMMYFUNCTION("""COMPUTED_VALUE"""),"國立嘉科實驗高級中等學校")</f>
        <v>國立嘉科實驗高級中等學校</v>
      </c>
      <c r="E1064" s="9" t="str">
        <f>IFERROR(__xludf.DUMMYFUNCTION("""COMPUTED_VALUE"""),"普通科")</f>
        <v>普通科</v>
      </c>
      <c r="F1064" s="9" t="str">
        <f>IFERROR(__xludf.DUMMYFUNCTION("""COMPUTED_VALUE"""),"一年級")</f>
        <v>一年級</v>
      </c>
      <c r="G1064" s="10" t="str">
        <f>IFERROR(__xludf.DUMMYFUNCTION("""COMPUTED_VALUE"""),"獎狀")</f>
        <v>獎狀</v>
      </c>
      <c r="H1064" s="9"/>
    </row>
    <row r="1065">
      <c r="A1065" s="5" t="s">
        <v>9</v>
      </c>
      <c r="B1065" s="9" t="str">
        <f>IFERROR(__xludf.DUMMYFUNCTION("""COMPUTED_VALUE"""),"林O涵")</f>
        <v>林O涵</v>
      </c>
      <c r="C1065" s="9" t="str">
        <f>IFERROR(__xludf.DUMMYFUNCTION("""COMPUTED_VALUE"""),"h31*****nehs.cyc.edu.tw")</f>
        <v>h31*****nehs.cyc.edu.tw</v>
      </c>
      <c r="D1065" s="9" t="str">
        <f>IFERROR(__xludf.DUMMYFUNCTION("""COMPUTED_VALUE"""),"國立嘉科實驗高級中等學校")</f>
        <v>國立嘉科實驗高級中等學校</v>
      </c>
      <c r="E1065" s="9" t="str">
        <f>IFERROR(__xludf.DUMMYFUNCTION("""COMPUTED_VALUE"""),"普通科")</f>
        <v>普通科</v>
      </c>
      <c r="F1065" s="9" t="str">
        <f>IFERROR(__xludf.DUMMYFUNCTION("""COMPUTED_VALUE"""),"一年級")</f>
        <v>一年級</v>
      </c>
      <c r="G1065" s="10" t="str">
        <f>IFERROR(__xludf.DUMMYFUNCTION("""COMPUTED_VALUE"""),"獎狀")</f>
        <v>獎狀</v>
      </c>
      <c r="H1065" s="9"/>
    </row>
    <row r="1066">
      <c r="A1066" s="5" t="s">
        <v>9</v>
      </c>
      <c r="B1066" s="9" t="str">
        <f>IFERROR(__xludf.DUMMYFUNCTION("""COMPUTED_VALUE"""),"林O辰")</f>
        <v>林O辰</v>
      </c>
      <c r="C1066" s="9" t="str">
        <f>IFERROR(__xludf.DUMMYFUNCTION("""COMPUTED_VALUE"""),"310*****gash.cyc.edu.tw")</f>
        <v>310*****gash.cyc.edu.tw</v>
      </c>
      <c r="D1066" s="9" t="str">
        <f>IFERROR(__xludf.DUMMYFUNCTION("""COMPUTED_VALUE"""),"國立新港藝術高級中學")</f>
        <v>國立新港藝術高級中學</v>
      </c>
      <c r="E1066" s="9" t="str">
        <f>IFERROR(__xludf.DUMMYFUNCTION("""COMPUTED_VALUE"""),"普通科")</f>
        <v>普通科</v>
      </c>
      <c r="F1066" s="9" t="str">
        <f>IFERROR(__xludf.DUMMYFUNCTION("""COMPUTED_VALUE"""),"二年級")</f>
        <v>二年級</v>
      </c>
      <c r="G1066" s="10" t="str">
        <f>IFERROR(__xludf.DUMMYFUNCTION("""COMPUTED_VALUE"""),"獎狀")</f>
        <v>獎狀</v>
      </c>
      <c r="H1066" s="9"/>
    </row>
    <row r="1067">
      <c r="A1067" s="5" t="s">
        <v>9</v>
      </c>
      <c r="B1067" s="9" t="str">
        <f>IFERROR(__xludf.DUMMYFUNCTION("""COMPUTED_VALUE"""),"張O瑀")</f>
        <v>張O瑀</v>
      </c>
      <c r="C1067" s="9" t="str">
        <f>IFERROR(__xludf.DUMMYFUNCTION("""COMPUTED_VALUE"""),"210*****gash.cyc.edu.tw")</f>
        <v>210*****gash.cyc.edu.tw</v>
      </c>
      <c r="D1067" s="9" t="str">
        <f>IFERROR(__xludf.DUMMYFUNCTION("""COMPUTED_VALUE"""),"國立新港藝術高級中學")</f>
        <v>國立新港藝術高級中學</v>
      </c>
      <c r="E1067" s="9" t="str">
        <f>IFERROR(__xludf.DUMMYFUNCTION("""COMPUTED_VALUE"""),"普通科")</f>
        <v>普通科</v>
      </c>
      <c r="F1067" s="9" t="str">
        <f>IFERROR(__xludf.DUMMYFUNCTION("""COMPUTED_VALUE"""),"三年級")</f>
        <v>三年級</v>
      </c>
      <c r="G1067" s="10" t="str">
        <f>IFERROR(__xludf.DUMMYFUNCTION("""COMPUTED_VALUE"""),"獎狀")</f>
        <v>獎狀</v>
      </c>
      <c r="H1067" s="9"/>
    </row>
    <row r="1068">
      <c r="A1068" s="5" t="s">
        <v>9</v>
      </c>
      <c r="B1068" s="9" t="str">
        <f>IFERROR(__xludf.DUMMYFUNCTION("""COMPUTED_VALUE"""),"黃O筑")</f>
        <v>黃O筑</v>
      </c>
      <c r="C1068" s="9" t="str">
        <f>IFERROR(__xludf.DUMMYFUNCTION("""COMPUTED_VALUE"""),"210*****gash.cyc.edu.tw")</f>
        <v>210*****gash.cyc.edu.tw</v>
      </c>
      <c r="D1068" s="9" t="str">
        <f>IFERROR(__xludf.DUMMYFUNCTION("""COMPUTED_VALUE"""),"國立新港藝術高級中學")</f>
        <v>國立新港藝術高級中學</v>
      </c>
      <c r="E1068" s="9" t="str">
        <f>IFERROR(__xludf.DUMMYFUNCTION("""COMPUTED_VALUE"""),"普通科")</f>
        <v>普通科</v>
      </c>
      <c r="F1068" s="9" t="str">
        <f>IFERROR(__xludf.DUMMYFUNCTION("""COMPUTED_VALUE"""),"三年級")</f>
        <v>三年級</v>
      </c>
      <c r="G1068" s="10" t="str">
        <f>IFERROR(__xludf.DUMMYFUNCTION("""COMPUTED_VALUE"""),"獎狀")</f>
        <v>獎狀</v>
      </c>
      <c r="H1068" s="9"/>
    </row>
    <row r="1069">
      <c r="A1069" s="5" t="s">
        <v>9</v>
      </c>
      <c r="B1069" s="9" t="str">
        <f>IFERROR(__xludf.DUMMYFUNCTION("""COMPUTED_VALUE"""),"蘇O琇")</f>
        <v>蘇O琇</v>
      </c>
      <c r="C1069" s="9" t="str">
        <f>IFERROR(__xludf.DUMMYFUNCTION("""COMPUTED_VALUE"""),"210*****gash.cyc.edu.tw")</f>
        <v>210*****gash.cyc.edu.tw</v>
      </c>
      <c r="D1069" s="9" t="str">
        <f>IFERROR(__xludf.DUMMYFUNCTION("""COMPUTED_VALUE"""),"國立新港藝術高級中學")</f>
        <v>國立新港藝術高級中學</v>
      </c>
      <c r="E1069" s="9" t="str">
        <f>IFERROR(__xludf.DUMMYFUNCTION("""COMPUTED_VALUE"""),"普通科")</f>
        <v>普通科</v>
      </c>
      <c r="F1069" s="9" t="str">
        <f>IFERROR(__xludf.DUMMYFUNCTION("""COMPUTED_VALUE"""),"三年級")</f>
        <v>三年級</v>
      </c>
      <c r="G1069" s="10" t="str">
        <f>IFERROR(__xludf.DUMMYFUNCTION("""COMPUTED_VALUE"""),"獎狀")</f>
        <v>獎狀</v>
      </c>
      <c r="H1069" s="9"/>
    </row>
    <row r="1070">
      <c r="A1070" s="5" t="s">
        <v>9</v>
      </c>
      <c r="B1070" s="9" t="str">
        <f>IFERROR(__xludf.DUMMYFUNCTION("""COMPUTED_VALUE"""),"鄭O璇")</f>
        <v>鄭O璇</v>
      </c>
      <c r="C1070" s="9" t="str">
        <f>IFERROR(__xludf.DUMMYFUNCTION("""COMPUTED_VALUE"""),"210*****gash.cyc.edu.tw")</f>
        <v>210*****gash.cyc.edu.tw</v>
      </c>
      <c r="D1070" s="9" t="str">
        <f>IFERROR(__xludf.DUMMYFUNCTION("""COMPUTED_VALUE"""),"國立新港藝術高級中學")</f>
        <v>國立新港藝術高級中學</v>
      </c>
      <c r="E1070" s="9" t="str">
        <f>IFERROR(__xludf.DUMMYFUNCTION("""COMPUTED_VALUE"""),"普通科")</f>
        <v>普通科</v>
      </c>
      <c r="F1070" s="9" t="str">
        <f>IFERROR(__xludf.DUMMYFUNCTION("""COMPUTED_VALUE"""),"三年級")</f>
        <v>三年級</v>
      </c>
      <c r="G1070" s="10" t="str">
        <f>IFERROR(__xludf.DUMMYFUNCTION("""COMPUTED_VALUE"""),"獎狀")</f>
        <v>獎狀</v>
      </c>
      <c r="H1070" s="9"/>
    </row>
    <row r="1071">
      <c r="A1071" s="5" t="s">
        <v>9</v>
      </c>
      <c r="B1071" s="9" t="str">
        <f>IFERROR(__xludf.DUMMYFUNCTION("""COMPUTED_VALUE"""),"楊O婕")</f>
        <v>楊O婕</v>
      </c>
      <c r="C1071" s="9" t="str">
        <f>IFERROR(__xludf.DUMMYFUNCTION("""COMPUTED_VALUE"""),"210*****gash.cyc.edu.tw")</f>
        <v>210*****gash.cyc.edu.tw</v>
      </c>
      <c r="D1071" s="9" t="str">
        <f>IFERROR(__xludf.DUMMYFUNCTION("""COMPUTED_VALUE"""),"國立新港藝術高級中學")</f>
        <v>國立新港藝術高級中學</v>
      </c>
      <c r="E1071" s="9" t="str">
        <f>IFERROR(__xludf.DUMMYFUNCTION("""COMPUTED_VALUE"""),"普通科")</f>
        <v>普通科</v>
      </c>
      <c r="F1071" s="9" t="str">
        <f>IFERROR(__xludf.DUMMYFUNCTION("""COMPUTED_VALUE"""),"三年級")</f>
        <v>三年級</v>
      </c>
      <c r="G1071" s="10" t="str">
        <f>IFERROR(__xludf.DUMMYFUNCTION("""COMPUTED_VALUE"""),"獎狀")</f>
        <v>獎狀</v>
      </c>
      <c r="H1071" s="9"/>
    </row>
    <row r="1072">
      <c r="A1072" s="5" t="s">
        <v>9</v>
      </c>
      <c r="B1072" s="9" t="str">
        <f>IFERROR(__xludf.DUMMYFUNCTION("""COMPUTED_VALUE"""),"王O傑")</f>
        <v>王O傑</v>
      </c>
      <c r="C1072" s="9" t="str">
        <f>IFERROR(__xludf.DUMMYFUNCTION("""COMPUTED_VALUE"""),"210*****gash.cyc.edu.tw")</f>
        <v>210*****gash.cyc.edu.tw</v>
      </c>
      <c r="D1072" s="9" t="str">
        <f>IFERROR(__xludf.DUMMYFUNCTION("""COMPUTED_VALUE"""),"國立新港藝術高級中學")</f>
        <v>國立新港藝術高級中學</v>
      </c>
      <c r="E1072" s="9" t="str">
        <f>IFERROR(__xludf.DUMMYFUNCTION("""COMPUTED_VALUE"""),"普通科")</f>
        <v>普通科</v>
      </c>
      <c r="F1072" s="9" t="str">
        <f>IFERROR(__xludf.DUMMYFUNCTION("""COMPUTED_VALUE"""),"三年級")</f>
        <v>三年級</v>
      </c>
      <c r="G1072" s="10" t="str">
        <f>IFERROR(__xludf.DUMMYFUNCTION("""COMPUTED_VALUE"""),"獎狀")</f>
        <v>獎狀</v>
      </c>
      <c r="H1072" s="9"/>
    </row>
    <row r="1073">
      <c r="A1073" s="5" t="s">
        <v>9</v>
      </c>
      <c r="B1073" s="9" t="str">
        <f>IFERROR(__xludf.DUMMYFUNCTION("""COMPUTED_VALUE"""),"王O羚")</f>
        <v>王O羚</v>
      </c>
      <c r="C1073" s="9" t="str">
        <f>IFERROR(__xludf.DUMMYFUNCTION("""COMPUTED_VALUE"""),"210*****gash.cyc.edu.tw")</f>
        <v>210*****gash.cyc.edu.tw</v>
      </c>
      <c r="D1073" s="9" t="str">
        <f>IFERROR(__xludf.DUMMYFUNCTION("""COMPUTED_VALUE"""),"國立新港藝術高級中學")</f>
        <v>國立新港藝術高級中學</v>
      </c>
      <c r="E1073" s="9" t="str">
        <f>IFERROR(__xludf.DUMMYFUNCTION("""COMPUTED_VALUE"""),"普通科")</f>
        <v>普通科</v>
      </c>
      <c r="F1073" s="9" t="str">
        <f>IFERROR(__xludf.DUMMYFUNCTION("""COMPUTED_VALUE"""),"三年級")</f>
        <v>三年級</v>
      </c>
      <c r="G1073" s="10" t="str">
        <f>IFERROR(__xludf.DUMMYFUNCTION("""COMPUTED_VALUE"""),"★商品卡$1000")</f>
        <v>★商品卡$1000</v>
      </c>
      <c r="H1073" s="9"/>
    </row>
    <row r="1074">
      <c r="A1074" s="5" t="s">
        <v>9</v>
      </c>
      <c r="B1074" s="9" t="str">
        <f>IFERROR(__xludf.DUMMYFUNCTION("""COMPUTED_VALUE"""),"陳O倫")</f>
        <v>陳O倫</v>
      </c>
      <c r="C1074" s="9" t="str">
        <f>IFERROR(__xludf.DUMMYFUNCTION("""COMPUTED_VALUE"""),"210*****gash.cyc.edu.tw")</f>
        <v>210*****gash.cyc.edu.tw</v>
      </c>
      <c r="D1074" s="9" t="str">
        <f>IFERROR(__xludf.DUMMYFUNCTION("""COMPUTED_VALUE"""),"國立新港藝術高級中學")</f>
        <v>國立新港藝術高級中學</v>
      </c>
      <c r="E1074" s="9" t="str">
        <f>IFERROR(__xludf.DUMMYFUNCTION("""COMPUTED_VALUE"""),"普通科")</f>
        <v>普通科</v>
      </c>
      <c r="F1074" s="9" t="str">
        <f>IFERROR(__xludf.DUMMYFUNCTION("""COMPUTED_VALUE"""),"三年級")</f>
        <v>三年級</v>
      </c>
      <c r="G1074" s="10" t="str">
        <f>IFERROR(__xludf.DUMMYFUNCTION("""COMPUTED_VALUE"""),"獎狀")</f>
        <v>獎狀</v>
      </c>
      <c r="H1074" s="9"/>
    </row>
    <row r="1075">
      <c r="A1075" s="5" t="s">
        <v>9</v>
      </c>
      <c r="B1075" s="9" t="str">
        <f>IFERROR(__xludf.DUMMYFUNCTION("""COMPUTED_VALUE"""),"呂O軒")</f>
        <v>呂O軒</v>
      </c>
      <c r="C1075" s="9" t="str">
        <f>IFERROR(__xludf.DUMMYFUNCTION("""COMPUTED_VALUE"""),"210*****gash.cyc.edu.tw")</f>
        <v>210*****gash.cyc.edu.tw</v>
      </c>
      <c r="D1075" s="9" t="str">
        <f>IFERROR(__xludf.DUMMYFUNCTION("""COMPUTED_VALUE"""),"國立新港藝術高級中學")</f>
        <v>國立新港藝術高級中學</v>
      </c>
      <c r="E1075" s="9" t="str">
        <f>IFERROR(__xludf.DUMMYFUNCTION("""COMPUTED_VALUE"""),"普通科")</f>
        <v>普通科</v>
      </c>
      <c r="F1075" s="9" t="str">
        <f>IFERROR(__xludf.DUMMYFUNCTION("""COMPUTED_VALUE"""),"三年級")</f>
        <v>三年級</v>
      </c>
      <c r="G1075" s="10" t="str">
        <f>IFERROR(__xludf.DUMMYFUNCTION("""COMPUTED_VALUE"""),"獎狀")</f>
        <v>獎狀</v>
      </c>
      <c r="H1075" s="9"/>
    </row>
    <row r="1076">
      <c r="A1076" s="5" t="s">
        <v>9</v>
      </c>
      <c r="B1076" s="9" t="str">
        <f>IFERROR(__xludf.DUMMYFUNCTION("""COMPUTED_VALUE"""),"歐O姍")</f>
        <v>歐O姍</v>
      </c>
      <c r="C1076" s="9" t="str">
        <f>IFERROR(__xludf.DUMMYFUNCTION("""COMPUTED_VALUE"""),"210*****gash.cyc.edu.tw")</f>
        <v>210*****gash.cyc.edu.tw</v>
      </c>
      <c r="D1076" s="9" t="str">
        <f>IFERROR(__xludf.DUMMYFUNCTION("""COMPUTED_VALUE"""),"國立新港藝術高級中學")</f>
        <v>國立新港藝術高級中學</v>
      </c>
      <c r="E1076" s="9" t="str">
        <f>IFERROR(__xludf.DUMMYFUNCTION("""COMPUTED_VALUE"""),"普通科")</f>
        <v>普通科</v>
      </c>
      <c r="F1076" s="9" t="str">
        <f>IFERROR(__xludf.DUMMYFUNCTION("""COMPUTED_VALUE"""),"三年級")</f>
        <v>三年級</v>
      </c>
      <c r="G1076" s="10" t="str">
        <f>IFERROR(__xludf.DUMMYFUNCTION("""COMPUTED_VALUE"""),"獎狀")</f>
        <v>獎狀</v>
      </c>
      <c r="H1076" s="9"/>
    </row>
    <row r="1077">
      <c r="A1077" s="5" t="s">
        <v>9</v>
      </c>
      <c r="B1077" s="9" t="str">
        <f>IFERROR(__xludf.DUMMYFUNCTION("""COMPUTED_VALUE"""),"李O萱")</f>
        <v>李O萱</v>
      </c>
      <c r="C1077" s="9" t="str">
        <f>IFERROR(__xludf.DUMMYFUNCTION("""COMPUTED_VALUE"""),"210*****gash.cyc.edu.tw")</f>
        <v>210*****gash.cyc.edu.tw</v>
      </c>
      <c r="D1077" s="9" t="str">
        <f>IFERROR(__xludf.DUMMYFUNCTION("""COMPUTED_VALUE"""),"國立新港藝術高級中學")</f>
        <v>國立新港藝術高級中學</v>
      </c>
      <c r="E1077" s="9" t="str">
        <f>IFERROR(__xludf.DUMMYFUNCTION("""COMPUTED_VALUE"""),"普通科")</f>
        <v>普通科</v>
      </c>
      <c r="F1077" s="9" t="str">
        <f>IFERROR(__xludf.DUMMYFUNCTION("""COMPUTED_VALUE"""),"三年級")</f>
        <v>三年級</v>
      </c>
      <c r="G1077" s="10" t="str">
        <f>IFERROR(__xludf.DUMMYFUNCTION("""COMPUTED_VALUE"""),"獎狀")</f>
        <v>獎狀</v>
      </c>
      <c r="H1077" s="11"/>
    </row>
    <row r="1078">
      <c r="A1078" s="5" t="s">
        <v>9</v>
      </c>
      <c r="B1078" s="9" t="str">
        <f>IFERROR(__xludf.DUMMYFUNCTION("""COMPUTED_VALUE"""),"侯O泓")</f>
        <v>侯O泓</v>
      </c>
      <c r="C1078" s="9" t="str">
        <f>IFERROR(__xludf.DUMMYFUNCTION("""COMPUTED_VALUE"""),"j11*****my.cmsh.cyc.edu.tw")</f>
        <v>j11*****my.cmsh.cyc.edu.tw</v>
      </c>
      <c r="D1078" s="9" t="str">
        <f>IFERROR(__xludf.DUMMYFUNCTION("""COMPUTED_VALUE"""),"嘉義縣私立協同高級中學")</f>
        <v>嘉義縣私立協同高級中學</v>
      </c>
      <c r="E1078" s="9" t="str">
        <f>IFERROR(__xludf.DUMMYFUNCTION("""COMPUTED_VALUE"""),"普通科")</f>
        <v>普通科</v>
      </c>
      <c r="F1078" s="9" t="str">
        <f>IFERROR(__xludf.DUMMYFUNCTION("""COMPUTED_VALUE"""),"一年級")</f>
        <v>一年級</v>
      </c>
      <c r="G1078" s="10" t="str">
        <f>IFERROR(__xludf.DUMMYFUNCTION("""COMPUTED_VALUE"""),"獎狀")</f>
        <v>獎狀</v>
      </c>
      <c r="H1078" s="11" t="str">
        <f>IFERROR(__xludf.DUMMYFUNCTION("""COMPUTED_VALUE"""),"學籍資料不齊，請提供【就讀班級】")</f>
        <v>學籍資料不齊，請提供【就讀班級】</v>
      </c>
    </row>
    <row r="1079">
      <c r="A1079" s="5" t="s">
        <v>9</v>
      </c>
      <c r="B1079" s="9" t="str">
        <f>IFERROR(__xludf.DUMMYFUNCTION("""COMPUTED_VALUE"""),"張O馨")</f>
        <v>張O馨</v>
      </c>
      <c r="C1079" s="9" t="str">
        <f>IFERROR(__xludf.DUMMYFUNCTION("""COMPUTED_VALUE"""),"cyc*****5@gmail.com")</f>
        <v>cyc*****5@gmail.com</v>
      </c>
      <c r="D1079" s="9" t="str">
        <f>IFERROR(__xludf.DUMMYFUNCTION("""COMPUTED_VALUE"""),"嘉義縣私立協同高級中學")</f>
        <v>嘉義縣私立協同高級中學</v>
      </c>
      <c r="E1079" s="9" t="str">
        <f>IFERROR(__xludf.DUMMYFUNCTION("""COMPUTED_VALUE"""),"普通科")</f>
        <v>普通科</v>
      </c>
      <c r="F1079" s="9" t="str">
        <f>IFERROR(__xludf.DUMMYFUNCTION("""COMPUTED_VALUE"""),"二年級")</f>
        <v>二年級</v>
      </c>
      <c r="G1079" s="10" t="str">
        <f>IFERROR(__xludf.DUMMYFUNCTION("""COMPUTED_VALUE"""),"獎狀")</f>
        <v>獎狀</v>
      </c>
      <c r="H1079" s="9"/>
    </row>
    <row r="1080">
      <c r="A1080" s="5" t="s">
        <v>9</v>
      </c>
      <c r="B1080" s="9" t="str">
        <f>IFERROR(__xludf.DUMMYFUNCTION("""COMPUTED_VALUE"""),"許O忻")</f>
        <v>許O忻</v>
      </c>
      <c r="C1080" s="9" t="str">
        <f>IFERROR(__xludf.DUMMYFUNCTION("""COMPUTED_VALUE"""),"s12*****@my.cmsh.cyc.edu.tw")</f>
        <v>s12*****@my.cmsh.cyc.edu.tw</v>
      </c>
      <c r="D1080" s="9" t="str">
        <f>IFERROR(__xludf.DUMMYFUNCTION("""COMPUTED_VALUE"""),"嘉義縣私立協同高級中學")</f>
        <v>嘉義縣私立協同高級中學</v>
      </c>
      <c r="E1080" s="9" t="str">
        <f>IFERROR(__xludf.DUMMYFUNCTION("""COMPUTED_VALUE"""),"普通科")</f>
        <v>普通科</v>
      </c>
      <c r="F1080" s="9" t="str">
        <f>IFERROR(__xludf.DUMMYFUNCTION("""COMPUTED_VALUE"""),"三年級")</f>
        <v>三年級</v>
      </c>
      <c r="G1080" s="10" t="str">
        <f>IFERROR(__xludf.DUMMYFUNCTION("""COMPUTED_VALUE"""),"獎狀")</f>
        <v>獎狀</v>
      </c>
      <c r="H1080" s="9"/>
    </row>
    <row r="1081">
      <c r="A1081" s="5" t="s">
        <v>9</v>
      </c>
      <c r="B1081" s="9" t="str">
        <f>IFERROR(__xludf.DUMMYFUNCTION("""COMPUTED_VALUE"""),"陳O琳")</f>
        <v>陳O琳</v>
      </c>
      <c r="C1081" s="9" t="str">
        <f>IFERROR(__xludf.DUMMYFUNCTION("""COMPUTED_VALUE"""),"cat*****e210210@gmail.com")</f>
        <v>cat*****e210210@gmail.com</v>
      </c>
      <c r="D1081" s="9" t="str">
        <f>IFERROR(__xludf.DUMMYFUNCTION("""COMPUTED_VALUE"""),"雲林縣私立永年高級中學")</f>
        <v>雲林縣私立永年高級中學</v>
      </c>
      <c r="E1081" s="9" t="str">
        <f>IFERROR(__xludf.DUMMYFUNCTION("""COMPUTED_VALUE"""),"普通科")</f>
        <v>普通科</v>
      </c>
      <c r="F1081" s="9" t="str">
        <f>IFERROR(__xludf.DUMMYFUNCTION("""COMPUTED_VALUE"""),"三年級")</f>
        <v>三年級</v>
      </c>
      <c r="G1081" s="10" t="str">
        <f>IFERROR(__xludf.DUMMYFUNCTION("""COMPUTED_VALUE"""),"獎狀")</f>
        <v>獎狀</v>
      </c>
      <c r="H1081" s="9"/>
    </row>
    <row r="1082">
      <c r="A1082" s="5" t="s">
        <v>9</v>
      </c>
      <c r="B1082" s="9" t="str">
        <f>IFERROR(__xludf.DUMMYFUNCTION("""COMPUTED_VALUE"""),"林O萱")</f>
        <v>林O萱</v>
      </c>
      <c r="C1082" s="9" t="str">
        <f>IFERROR(__xludf.DUMMYFUNCTION("""COMPUTED_VALUE"""),"ml0*****087@gmail.com")</f>
        <v>ml0*****087@gmail.com</v>
      </c>
      <c r="D1082" s="9" t="str">
        <f>IFERROR(__xludf.DUMMYFUNCTION("""COMPUTED_VALUE"""),"雲林縣立麥寮高級中學")</f>
        <v>雲林縣立麥寮高級中學</v>
      </c>
      <c r="E1082" s="9" t="str">
        <f>IFERROR(__xludf.DUMMYFUNCTION("""COMPUTED_VALUE"""),"普通科")</f>
        <v>普通科</v>
      </c>
      <c r="F1082" s="9" t="str">
        <f>IFERROR(__xludf.DUMMYFUNCTION("""COMPUTED_VALUE"""),"一年級")</f>
        <v>一年級</v>
      </c>
      <c r="G1082" s="10" t="str">
        <f>IFERROR(__xludf.DUMMYFUNCTION("""COMPUTED_VALUE"""),"獎狀")</f>
        <v>獎狀</v>
      </c>
      <c r="H1082" s="9"/>
    </row>
    <row r="1083">
      <c r="A1083" s="5" t="s">
        <v>9</v>
      </c>
      <c r="B1083" s="9" t="str">
        <f>IFERROR(__xludf.DUMMYFUNCTION("""COMPUTED_VALUE"""),"孫O儀")</f>
        <v>孫O儀</v>
      </c>
      <c r="C1083" s="9" t="str">
        <f>IFERROR(__xludf.DUMMYFUNCTION("""COMPUTED_VALUE"""),"211*****ljh.ylc.edu.tw")</f>
        <v>211*****ljh.ylc.edu.tw</v>
      </c>
      <c r="D1083" s="9" t="str">
        <f>IFERROR(__xludf.DUMMYFUNCTION("""COMPUTED_VALUE"""),"雲林縣立麥寮高級中學")</f>
        <v>雲林縣立麥寮高級中學</v>
      </c>
      <c r="E1083" s="9" t="str">
        <f>IFERROR(__xludf.DUMMYFUNCTION("""COMPUTED_VALUE"""),"普通科")</f>
        <v>普通科</v>
      </c>
      <c r="F1083" s="9" t="str">
        <f>IFERROR(__xludf.DUMMYFUNCTION("""COMPUTED_VALUE"""),"三年級")</f>
        <v>三年級</v>
      </c>
      <c r="G1083" s="10" t="str">
        <f>IFERROR(__xludf.DUMMYFUNCTION("""COMPUTED_VALUE"""),"獎狀")</f>
        <v>獎狀</v>
      </c>
      <c r="H1083" s="9"/>
    </row>
    <row r="1084">
      <c r="A1084" s="5" t="s">
        <v>9</v>
      </c>
      <c r="B1084" s="9" t="str">
        <f>IFERROR(__xludf.DUMMYFUNCTION("""COMPUTED_VALUE"""),"林O瑾")</f>
        <v>林O瑾</v>
      </c>
      <c r="C1084" s="9" t="str">
        <f>IFERROR(__xludf.DUMMYFUNCTION("""COMPUTED_VALUE"""),"211*****ljh.ylc.edu.tw")</f>
        <v>211*****ljh.ylc.edu.tw</v>
      </c>
      <c r="D1084" s="9" t="str">
        <f>IFERROR(__xludf.DUMMYFUNCTION("""COMPUTED_VALUE"""),"雲林縣立麥寮高級中學")</f>
        <v>雲林縣立麥寮高級中學</v>
      </c>
      <c r="E1084" s="9" t="str">
        <f>IFERROR(__xludf.DUMMYFUNCTION("""COMPUTED_VALUE"""),"普通科")</f>
        <v>普通科</v>
      </c>
      <c r="F1084" s="9" t="str">
        <f>IFERROR(__xludf.DUMMYFUNCTION("""COMPUTED_VALUE"""),"三年級")</f>
        <v>三年級</v>
      </c>
      <c r="G1084" s="10" t="str">
        <f>IFERROR(__xludf.DUMMYFUNCTION("""COMPUTED_VALUE"""),"獎狀")</f>
        <v>獎狀</v>
      </c>
      <c r="H1084" s="11"/>
    </row>
    <row r="1085">
      <c r="A1085" s="5" t="s">
        <v>9</v>
      </c>
      <c r="B1085" s="9" t="str">
        <f>IFERROR(__xludf.DUMMYFUNCTION("""COMPUTED_VALUE"""),"吳O祐")</f>
        <v>吳O祐</v>
      </c>
      <c r="C1085" s="9" t="str">
        <f>IFERROR(__xludf.DUMMYFUNCTION("""COMPUTED_VALUE"""),"wen*****6@gmail.com")</f>
        <v>wen*****6@gmail.com</v>
      </c>
      <c r="D1085" s="9" t="str">
        <f>IFERROR(__xludf.DUMMYFUNCTION("""COMPUTED_VALUE"""),"國立斗六高級中學")</f>
        <v>國立斗六高級中學</v>
      </c>
      <c r="E1085" s="9" t="str">
        <f>IFERROR(__xludf.DUMMYFUNCTION("""COMPUTED_VALUE"""),"普通科")</f>
        <v>普通科</v>
      </c>
      <c r="F1085" s="9" t="str">
        <f>IFERROR(__xludf.DUMMYFUNCTION("""COMPUTED_VALUE"""),"一年級")</f>
        <v>一年級</v>
      </c>
      <c r="G1085" s="10" t="str">
        <f>IFERROR(__xludf.DUMMYFUNCTION("""COMPUTED_VALUE"""),"獎狀")</f>
        <v>獎狀</v>
      </c>
      <c r="H1085" s="11"/>
    </row>
    <row r="1086">
      <c r="A1086" s="5" t="s">
        <v>9</v>
      </c>
      <c r="B1086" s="9" t="str">
        <f>IFERROR(__xludf.DUMMYFUNCTION("""COMPUTED_VALUE"""),"蔡O安")</f>
        <v>蔡O安</v>
      </c>
      <c r="C1086" s="9" t="str">
        <f>IFERROR(__xludf.DUMMYFUNCTION("""COMPUTED_VALUE"""),"ang*****i.work@gmail.com")</f>
        <v>ang*****i.work@gmail.com</v>
      </c>
      <c r="D1086" s="9" t="str">
        <f>IFERROR(__xludf.DUMMYFUNCTION("""COMPUTED_VALUE"""),"國立斗六高級中學")</f>
        <v>國立斗六高級中學</v>
      </c>
      <c r="E1086" s="9" t="str">
        <f>IFERROR(__xludf.DUMMYFUNCTION("""COMPUTED_VALUE"""),"普通科")</f>
        <v>普通科</v>
      </c>
      <c r="F1086" s="9" t="str">
        <f>IFERROR(__xludf.DUMMYFUNCTION("""COMPUTED_VALUE"""),"一年級")</f>
        <v>一年級</v>
      </c>
      <c r="G1086" s="10" t="str">
        <f>IFERROR(__xludf.DUMMYFUNCTION("""COMPUTED_VALUE"""),"獎狀")</f>
        <v>獎狀</v>
      </c>
      <c r="H1086" s="11" t="str">
        <f>IFERROR(__xludf.DUMMYFUNCTION("""COMPUTED_VALUE"""),"學籍資料不齊，請提供【就讀班級】")</f>
        <v>學籍資料不齊，請提供【就讀班級】</v>
      </c>
    </row>
    <row r="1087">
      <c r="A1087" s="5" t="s">
        <v>9</v>
      </c>
      <c r="B1087" s="9" t="str">
        <f>IFERROR(__xludf.DUMMYFUNCTION("""COMPUTED_VALUE"""),"郭O茜")</f>
        <v>郭O茜</v>
      </c>
      <c r="C1087" s="9" t="str">
        <f>IFERROR(__xludf.DUMMYFUNCTION("""COMPUTED_VALUE"""),"kuo*****ian1211@gmail.com")</f>
        <v>kuo*****ian1211@gmail.com</v>
      </c>
      <c r="D1087" s="9" t="str">
        <f>IFERROR(__xludf.DUMMYFUNCTION("""COMPUTED_VALUE"""),"國立臺南女子高級中學")</f>
        <v>國立臺南女子高級中學</v>
      </c>
      <c r="E1087" s="9" t="str">
        <f>IFERROR(__xludf.DUMMYFUNCTION("""COMPUTED_VALUE"""),"普通科")</f>
        <v>普通科</v>
      </c>
      <c r="F1087" s="9" t="str">
        <f>IFERROR(__xludf.DUMMYFUNCTION("""COMPUTED_VALUE"""),"一年級")</f>
        <v>一年級</v>
      </c>
      <c r="G1087" s="10" t="str">
        <f>IFERROR(__xludf.DUMMYFUNCTION("""COMPUTED_VALUE"""),"獎狀")</f>
        <v>獎狀</v>
      </c>
      <c r="H1087" s="9"/>
    </row>
    <row r="1088">
      <c r="A1088" s="5" t="s">
        <v>9</v>
      </c>
      <c r="B1088" s="9" t="str">
        <f>IFERROR(__xludf.DUMMYFUNCTION("""COMPUTED_VALUE"""),"陳O涵")</f>
        <v>陳O涵</v>
      </c>
      <c r="C1088" s="9" t="str">
        <f>IFERROR(__xludf.DUMMYFUNCTION("""COMPUTED_VALUE"""),"che*****0616@gmail.com")</f>
        <v>che*****0616@gmail.com</v>
      </c>
      <c r="D1088" s="9" t="str">
        <f>IFERROR(__xludf.DUMMYFUNCTION("""COMPUTED_VALUE"""),"國立臺南女子高級中學")</f>
        <v>國立臺南女子高級中學</v>
      </c>
      <c r="E1088" s="9" t="str">
        <f>IFERROR(__xludf.DUMMYFUNCTION("""COMPUTED_VALUE"""),"普通科")</f>
        <v>普通科</v>
      </c>
      <c r="F1088" s="9" t="str">
        <f>IFERROR(__xludf.DUMMYFUNCTION("""COMPUTED_VALUE"""),"一年級")</f>
        <v>一年級</v>
      </c>
      <c r="G1088" s="10" t="str">
        <f>IFERROR(__xludf.DUMMYFUNCTION("""COMPUTED_VALUE"""),"獎狀")</f>
        <v>獎狀</v>
      </c>
      <c r="H1088" s="11"/>
    </row>
    <row r="1089">
      <c r="A1089" s="5" t="s">
        <v>9</v>
      </c>
      <c r="B1089" s="9" t="str">
        <f>IFERROR(__xludf.DUMMYFUNCTION("""COMPUTED_VALUE"""),"胡O瑜")</f>
        <v>胡O瑜</v>
      </c>
      <c r="C1089" s="9" t="str">
        <f>IFERROR(__xludf.DUMMYFUNCTION("""COMPUTED_VALUE"""),"st3*****2@mail.edu.tw")</f>
        <v>st3*****2@mail.edu.tw</v>
      </c>
      <c r="D1089" s="9" t="str">
        <f>IFERROR(__xludf.DUMMYFUNCTION("""COMPUTED_VALUE"""),"國立臺南女子高級中學")</f>
        <v>國立臺南女子高級中學</v>
      </c>
      <c r="E1089" s="9" t="str">
        <f>IFERROR(__xludf.DUMMYFUNCTION("""COMPUTED_VALUE"""),"普通科")</f>
        <v>普通科</v>
      </c>
      <c r="F1089" s="9" t="str">
        <f>IFERROR(__xludf.DUMMYFUNCTION("""COMPUTED_VALUE"""),"一年級")</f>
        <v>一年級</v>
      </c>
      <c r="G1089" s="10" t="str">
        <f>IFERROR(__xludf.DUMMYFUNCTION("""COMPUTED_VALUE"""),"獎狀")</f>
        <v>獎狀</v>
      </c>
      <c r="H1089" s="11"/>
    </row>
    <row r="1090">
      <c r="A1090" s="5" t="s">
        <v>9</v>
      </c>
      <c r="B1090" s="9" t="str">
        <f>IFERROR(__xludf.DUMMYFUNCTION("""COMPUTED_VALUE"""),"王O淇")</f>
        <v>王O淇</v>
      </c>
      <c r="C1090" s="9" t="str">
        <f>IFERROR(__xludf.DUMMYFUNCTION("""COMPUTED_VALUE"""),"yuk*****wang@gmail.com")</f>
        <v>yuk*****wang@gmail.com</v>
      </c>
      <c r="D1090" s="9" t="str">
        <f>IFERROR(__xludf.DUMMYFUNCTION("""COMPUTED_VALUE"""),"國立臺南女子高級中學")</f>
        <v>國立臺南女子高級中學</v>
      </c>
      <c r="E1090" s="9" t="str">
        <f>IFERROR(__xludf.DUMMYFUNCTION("""COMPUTED_VALUE"""),"普通科")</f>
        <v>普通科</v>
      </c>
      <c r="F1090" s="9" t="str">
        <f>IFERROR(__xludf.DUMMYFUNCTION("""COMPUTED_VALUE"""),"二年級")</f>
        <v>二年級</v>
      </c>
      <c r="G1090" s="10" t="str">
        <f>IFERROR(__xludf.DUMMYFUNCTION("""COMPUTED_VALUE"""),"獎狀")</f>
        <v>獎狀</v>
      </c>
      <c r="H1090" s="9"/>
    </row>
    <row r="1091">
      <c r="A1091" s="5" t="s">
        <v>9</v>
      </c>
      <c r="B1091" s="9" t="str">
        <f>IFERROR(__xludf.DUMMYFUNCTION("""COMPUTED_VALUE"""),"陳O璇")</f>
        <v>陳O璇</v>
      </c>
      <c r="C1091" s="9" t="str">
        <f>IFERROR(__xludf.DUMMYFUNCTION("""COMPUTED_VALUE"""),"jud*****0106@gmail.com")</f>
        <v>jud*****0106@gmail.com</v>
      </c>
      <c r="D1091" s="9" t="str">
        <f>IFERROR(__xludf.DUMMYFUNCTION("""COMPUTED_VALUE"""),"國立臺南女子高級中學")</f>
        <v>國立臺南女子高級中學</v>
      </c>
      <c r="E1091" s="9" t="str">
        <f>IFERROR(__xludf.DUMMYFUNCTION("""COMPUTED_VALUE"""),"普通科")</f>
        <v>普通科</v>
      </c>
      <c r="F1091" s="9" t="str">
        <f>IFERROR(__xludf.DUMMYFUNCTION("""COMPUTED_VALUE"""),"二年級")</f>
        <v>二年級</v>
      </c>
      <c r="G1091" s="10" t="str">
        <f>IFERROR(__xludf.DUMMYFUNCTION("""COMPUTED_VALUE"""),"獎狀")</f>
        <v>獎狀</v>
      </c>
      <c r="H1091" s="9"/>
    </row>
    <row r="1092">
      <c r="A1092" s="5" t="s">
        <v>9</v>
      </c>
      <c r="B1092" s="9" t="str">
        <f>IFERROR(__xludf.DUMMYFUNCTION("""COMPUTED_VALUE"""),"蘇O忻")</f>
        <v>蘇O忻</v>
      </c>
      <c r="C1092" s="9" t="str">
        <f>IFERROR(__xludf.DUMMYFUNCTION("""COMPUTED_VALUE"""),"hah*****y0331@gmail.com")</f>
        <v>hah*****y0331@gmail.com</v>
      </c>
      <c r="D1092" s="9" t="str">
        <f>IFERROR(__xludf.DUMMYFUNCTION("""COMPUTED_VALUE"""),"國立臺南女子高級中學")</f>
        <v>國立臺南女子高級中學</v>
      </c>
      <c r="E1092" s="9" t="str">
        <f>IFERROR(__xludf.DUMMYFUNCTION("""COMPUTED_VALUE"""),"普通科")</f>
        <v>普通科</v>
      </c>
      <c r="F1092" s="9" t="str">
        <f>IFERROR(__xludf.DUMMYFUNCTION("""COMPUTED_VALUE"""),"二年級")</f>
        <v>二年級</v>
      </c>
      <c r="G1092" s="10" t="str">
        <f>IFERROR(__xludf.DUMMYFUNCTION("""COMPUTED_VALUE"""),"獎狀")</f>
        <v>獎狀</v>
      </c>
      <c r="H1092" s="9"/>
    </row>
    <row r="1093">
      <c r="A1093" s="5" t="s">
        <v>9</v>
      </c>
      <c r="B1093" s="9" t="str">
        <f>IFERROR(__xludf.DUMMYFUNCTION("""COMPUTED_VALUE"""),"廖O安")</f>
        <v>廖O安</v>
      </c>
      <c r="C1093" s="9" t="str">
        <f>IFERROR(__xludf.DUMMYFUNCTION("""COMPUTED_VALUE"""),"ann*****67293@gmail.com")</f>
        <v>ann*****67293@gmail.com</v>
      </c>
      <c r="D1093" s="9" t="str">
        <f>IFERROR(__xludf.DUMMYFUNCTION("""COMPUTED_VALUE"""),"國立臺南女子高級中學")</f>
        <v>國立臺南女子高級中學</v>
      </c>
      <c r="E1093" s="9" t="str">
        <f>IFERROR(__xludf.DUMMYFUNCTION("""COMPUTED_VALUE"""),"普通科")</f>
        <v>普通科</v>
      </c>
      <c r="F1093" s="9" t="str">
        <f>IFERROR(__xludf.DUMMYFUNCTION("""COMPUTED_VALUE"""),"二年級")</f>
        <v>二年級</v>
      </c>
      <c r="G1093" s="10" t="str">
        <f>IFERROR(__xludf.DUMMYFUNCTION("""COMPUTED_VALUE"""),"○商品卡$500")</f>
        <v>○商品卡$500</v>
      </c>
      <c r="H1093" s="9"/>
    </row>
    <row r="1094">
      <c r="A1094" s="5" t="s">
        <v>9</v>
      </c>
      <c r="B1094" s="9" t="str">
        <f>IFERROR(__xludf.DUMMYFUNCTION("""COMPUTED_VALUE"""),"吳O慈")</f>
        <v>吳O慈</v>
      </c>
      <c r="C1094" s="9" t="str">
        <f>IFERROR(__xludf.DUMMYFUNCTION("""COMPUTED_VALUE"""),"thi*****therinewu@gmail.com")</f>
        <v>thi*****therinewu@gmail.com</v>
      </c>
      <c r="D1094" s="9" t="str">
        <f>IFERROR(__xludf.DUMMYFUNCTION("""COMPUTED_VALUE"""),"國立臺南女子高級中學")</f>
        <v>國立臺南女子高級中學</v>
      </c>
      <c r="E1094" s="9" t="str">
        <f>IFERROR(__xludf.DUMMYFUNCTION("""COMPUTED_VALUE"""),"普通科")</f>
        <v>普通科</v>
      </c>
      <c r="F1094" s="9" t="str">
        <f>IFERROR(__xludf.DUMMYFUNCTION("""COMPUTED_VALUE"""),"二年級")</f>
        <v>二年級</v>
      </c>
      <c r="G1094" s="10" t="str">
        <f>IFERROR(__xludf.DUMMYFUNCTION("""COMPUTED_VALUE"""),"獎狀")</f>
        <v>獎狀</v>
      </c>
      <c r="H1094" s="9"/>
    </row>
    <row r="1095">
      <c r="A1095" s="5" t="s">
        <v>9</v>
      </c>
      <c r="B1095" s="9" t="str">
        <f>IFERROR(__xludf.DUMMYFUNCTION("""COMPUTED_VALUE"""),"林O彤")</f>
        <v>林O彤</v>
      </c>
      <c r="C1095" s="9" t="str">
        <f>IFERROR(__xludf.DUMMYFUNCTION("""COMPUTED_VALUE"""),"lin*****ng1209@gmail.com")</f>
        <v>lin*****ng1209@gmail.com</v>
      </c>
      <c r="D1095" s="9" t="str">
        <f>IFERROR(__xludf.DUMMYFUNCTION("""COMPUTED_VALUE"""),"國立臺南女子高級中學")</f>
        <v>國立臺南女子高級中學</v>
      </c>
      <c r="E1095" s="9" t="str">
        <f>IFERROR(__xludf.DUMMYFUNCTION("""COMPUTED_VALUE"""),"普通科")</f>
        <v>普通科</v>
      </c>
      <c r="F1095" s="9" t="str">
        <f>IFERROR(__xludf.DUMMYFUNCTION("""COMPUTED_VALUE"""),"二年級")</f>
        <v>二年級</v>
      </c>
      <c r="G1095" s="10" t="str">
        <f>IFERROR(__xludf.DUMMYFUNCTION("""COMPUTED_VALUE"""),"獎狀")</f>
        <v>獎狀</v>
      </c>
      <c r="H1095" s="9"/>
    </row>
    <row r="1096">
      <c r="A1096" s="5" t="s">
        <v>9</v>
      </c>
      <c r="B1096" s="9" t="str">
        <f>IFERROR(__xludf.DUMMYFUNCTION("""COMPUTED_VALUE"""),"陳O蜓")</f>
        <v>陳O蜓</v>
      </c>
      <c r="C1096" s="9" t="str">
        <f>IFERROR(__xludf.DUMMYFUNCTION("""COMPUTED_VALUE"""),"que*****88@gmail.com")</f>
        <v>que*****88@gmail.com</v>
      </c>
      <c r="D1096" s="9" t="str">
        <f>IFERROR(__xludf.DUMMYFUNCTION("""COMPUTED_VALUE"""),"國立臺南女子高級中學")</f>
        <v>國立臺南女子高級中學</v>
      </c>
      <c r="E1096" s="9" t="str">
        <f>IFERROR(__xludf.DUMMYFUNCTION("""COMPUTED_VALUE"""),"普通科")</f>
        <v>普通科</v>
      </c>
      <c r="F1096" s="9" t="str">
        <f>IFERROR(__xludf.DUMMYFUNCTION("""COMPUTED_VALUE"""),"二年級")</f>
        <v>二年級</v>
      </c>
      <c r="G1096" s="10" t="str">
        <f>IFERROR(__xludf.DUMMYFUNCTION("""COMPUTED_VALUE"""),"獎狀")</f>
        <v>獎狀</v>
      </c>
      <c r="H1096" s="9"/>
    </row>
    <row r="1097">
      <c r="A1097" s="5" t="s">
        <v>9</v>
      </c>
      <c r="B1097" s="9" t="str">
        <f>IFERROR(__xludf.DUMMYFUNCTION("""COMPUTED_VALUE"""),"劉O安")</f>
        <v>劉O安</v>
      </c>
      <c r="C1097" s="9" t="str">
        <f>IFERROR(__xludf.DUMMYFUNCTION("""COMPUTED_VALUE"""),"aan*****22@gmail.com")</f>
        <v>aan*****22@gmail.com</v>
      </c>
      <c r="D1097" s="9" t="str">
        <f>IFERROR(__xludf.DUMMYFUNCTION("""COMPUTED_VALUE"""),"國立臺南女子高級中學")</f>
        <v>國立臺南女子高級中學</v>
      </c>
      <c r="E1097" s="9" t="str">
        <f>IFERROR(__xludf.DUMMYFUNCTION("""COMPUTED_VALUE"""),"普通科")</f>
        <v>普通科</v>
      </c>
      <c r="F1097" s="9" t="str">
        <f>IFERROR(__xludf.DUMMYFUNCTION("""COMPUTED_VALUE"""),"二年級")</f>
        <v>二年級</v>
      </c>
      <c r="G1097" s="10" t="str">
        <f>IFERROR(__xludf.DUMMYFUNCTION("""COMPUTED_VALUE"""),"獎狀")</f>
        <v>獎狀</v>
      </c>
      <c r="H1097" s="9"/>
    </row>
    <row r="1098">
      <c r="A1098" s="5" t="s">
        <v>9</v>
      </c>
      <c r="B1098" s="9" t="str">
        <f>IFERROR(__xludf.DUMMYFUNCTION("""COMPUTED_VALUE"""),"陳O真")</f>
        <v>陳O真</v>
      </c>
      <c r="C1098" s="9" t="str">
        <f>IFERROR(__xludf.DUMMYFUNCTION("""COMPUTED_VALUE"""),"yuz*****22@gmail.com")</f>
        <v>yuz*****22@gmail.com</v>
      </c>
      <c r="D1098" s="9" t="str">
        <f>IFERROR(__xludf.DUMMYFUNCTION("""COMPUTED_VALUE"""),"國立臺南女子高級中學")</f>
        <v>國立臺南女子高級中學</v>
      </c>
      <c r="E1098" s="9" t="str">
        <f>IFERROR(__xludf.DUMMYFUNCTION("""COMPUTED_VALUE"""),"普通科")</f>
        <v>普通科</v>
      </c>
      <c r="F1098" s="9" t="str">
        <f>IFERROR(__xludf.DUMMYFUNCTION("""COMPUTED_VALUE"""),"二年級")</f>
        <v>二年級</v>
      </c>
      <c r="G1098" s="10" t="str">
        <f>IFERROR(__xludf.DUMMYFUNCTION("""COMPUTED_VALUE"""),"獎狀")</f>
        <v>獎狀</v>
      </c>
      <c r="H1098" s="9"/>
    </row>
    <row r="1099">
      <c r="A1099" s="5" t="s">
        <v>9</v>
      </c>
      <c r="B1099" s="9" t="str">
        <f>IFERROR(__xludf.DUMMYFUNCTION("""COMPUTED_VALUE"""),"許O昕")</f>
        <v>許O昕</v>
      </c>
      <c r="C1099" s="9" t="str">
        <f>IFERROR(__xludf.DUMMYFUNCTION("""COMPUTED_VALUE"""),"980*****n@gmail.com")</f>
        <v>980*****n@gmail.com</v>
      </c>
      <c r="D1099" s="9" t="str">
        <f>IFERROR(__xludf.DUMMYFUNCTION("""COMPUTED_VALUE"""),"國立臺南女子高級中學")</f>
        <v>國立臺南女子高級中學</v>
      </c>
      <c r="E1099" s="9" t="str">
        <f>IFERROR(__xludf.DUMMYFUNCTION("""COMPUTED_VALUE"""),"普通科")</f>
        <v>普通科</v>
      </c>
      <c r="F1099" s="9" t="str">
        <f>IFERROR(__xludf.DUMMYFUNCTION("""COMPUTED_VALUE"""),"二年級")</f>
        <v>二年級</v>
      </c>
      <c r="G1099" s="10" t="str">
        <f>IFERROR(__xludf.DUMMYFUNCTION("""COMPUTED_VALUE"""),"獎狀")</f>
        <v>獎狀</v>
      </c>
      <c r="H1099" s="11"/>
    </row>
    <row r="1100">
      <c r="A1100" s="5" t="s">
        <v>9</v>
      </c>
      <c r="B1100" s="9" t="str">
        <f>IFERROR(__xludf.DUMMYFUNCTION("""COMPUTED_VALUE"""),"黃O葦")</f>
        <v>黃O葦</v>
      </c>
      <c r="C1100" s="9" t="str">
        <f>IFERROR(__xludf.DUMMYFUNCTION("""COMPUTED_VALUE"""),"hcw*****9@gmail.com")</f>
        <v>hcw*****9@gmail.com</v>
      </c>
      <c r="D1100" s="9" t="str">
        <f>IFERROR(__xludf.DUMMYFUNCTION("""COMPUTED_VALUE"""),"國立臺南女子高級中學")</f>
        <v>國立臺南女子高級中學</v>
      </c>
      <c r="E1100" s="9" t="str">
        <f>IFERROR(__xludf.DUMMYFUNCTION("""COMPUTED_VALUE"""),"普通科")</f>
        <v>普通科</v>
      </c>
      <c r="F1100" s="9" t="str">
        <f>IFERROR(__xludf.DUMMYFUNCTION("""COMPUTED_VALUE"""),"二年級")</f>
        <v>二年級</v>
      </c>
      <c r="G1100" s="10" t="str">
        <f>IFERROR(__xludf.DUMMYFUNCTION("""COMPUTED_VALUE"""),"獎狀")</f>
        <v>獎狀</v>
      </c>
      <c r="H1100" s="11"/>
    </row>
    <row r="1101">
      <c r="A1101" s="5" t="s">
        <v>9</v>
      </c>
      <c r="B1101" s="9" t="str">
        <f>IFERROR(__xludf.DUMMYFUNCTION("""COMPUTED_VALUE"""),"李O瑄")</f>
        <v>李O瑄</v>
      </c>
      <c r="C1101" s="9" t="str">
        <f>IFERROR(__xludf.DUMMYFUNCTION("""COMPUTED_VALUE"""),"hsu*****524@gmail.com")</f>
        <v>hsu*****524@gmail.com</v>
      </c>
      <c r="D1101" s="9" t="str">
        <f>IFERROR(__xludf.DUMMYFUNCTION("""COMPUTED_VALUE"""),"國立臺南女子高級中學")</f>
        <v>國立臺南女子高級中學</v>
      </c>
      <c r="E1101" s="9" t="str">
        <f>IFERROR(__xludf.DUMMYFUNCTION("""COMPUTED_VALUE"""),"普通科")</f>
        <v>普通科</v>
      </c>
      <c r="F1101" s="9" t="str">
        <f>IFERROR(__xludf.DUMMYFUNCTION("""COMPUTED_VALUE"""),"三年級")</f>
        <v>三年級</v>
      </c>
      <c r="G1101" s="10" t="str">
        <f>IFERROR(__xludf.DUMMYFUNCTION("""COMPUTED_VALUE"""),"獎狀")</f>
        <v>獎狀</v>
      </c>
      <c r="H1101" s="11"/>
    </row>
    <row r="1102">
      <c r="A1102" s="5" t="s">
        <v>9</v>
      </c>
      <c r="B1102" s="9" t="str">
        <f>IFERROR(__xludf.DUMMYFUNCTION("""COMPUTED_VALUE"""),"郭O秀")</f>
        <v>郭O秀</v>
      </c>
      <c r="C1102" s="9" t="str">
        <f>IFERROR(__xludf.DUMMYFUNCTION("""COMPUTED_VALUE"""),"ali*****731@mail.edu.tw")</f>
        <v>ali*****731@mail.edu.tw</v>
      </c>
      <c r="D1102" s="9" t="str">
        <f>IFERROR(__xludf.DUMMYFUNCTION("""COMPUTED_VALUE"""),"國立臺南家齊高級中等學校")</f>
        <v>國立臺南家齊高級中等學校</v>
      </c>
      <c r="E1102" s="9" t="str">
        <f>IFERROR(__xludf.DUMMYFUNCTION("""COMPUTED_VALUE"""),"普通科")</f>
        <v>普通科</v>
      </c>
      <c r="F1102" s="9" t="str">
        <f>IFERROR(__xludf.DUMMYFUNCTION("""COMPUTED_VALUE"""),"一年級")</f>
        <v>一年級</v>
      </c>
      <c r="G1102" s="10" t="str">
        <f>IFERROR(__xludf.DUMMYFUNCTION("""COMPUTED_VALUE"""),"獎狀")</f>
        <v>獎狀</v>
      </c>
      <c r="H1102" s="11"/>
    </row>
    <row r="1103">
      <c r="A1103" s="5" t="s">
        <v>9</v>
      </c>
      <c r="B1103" s="9" t="str">
        <f>IFERROR(__xludf.DUMMYFUNCTION("""COMPUTED_VALUE"""),"張O翊")</f>
        <v>張O翊</v>
      </c>
      <c r="C1103" s="9" t="str">
        <f>IFERROR(__xludf.DUMMYFUNCTION("""COMPUTED_VALUE"""),"qwe*****op990119@gmail.com")</f>
        <v>qwe*****op990119@gmail.com</v>
      </c>
      <c r="D1103" s="9" t="str">
        <f>IFERROR(__xludf.DUMMYFUNCTION("""COMPUTED_VALUE"""),"國立臺南家齊高級中等學校")</f>
        <v>國立臺南家齊高級中等學校</v>
      </c>
      <c r="E1103" s="9" t="str">
        <f>IFERROR(__xludf.DUMMYFUNCTION("""COMPUTED_VALUE"""),"普通科")</f>
        <v>普通科</v>
      </c>
      <c r="F1103" s="9" t="str">
        <f>IFERROR(__xludf.DUMMYFUNCTION("""COMPUTED_VALUE"""),"一年級")</f>
        <v>一年級</v>
      </c>
      <c r="G1103" s="10" t="str">
        <f>IFERROR(__xludf.DUMMYFUNCTION("""COMPUTED_VALUE"""),"獎狀")</f>
        <v>獎狀</v>
      </c>
      <c r="H1103" s="11"/>
    </row>
    <row r="1104">
      <c r="A1104" s="5" t="s">
        <v>9</v>
      </c>
      <c r="B1104" s="9" t="str">
        <f>IFERROR(__xludf.DUMMYFUNCTION("""COMPUTED_VALUE"""),"黃O修")</f>
        <v>黃O修</v>
      </c>
      <c r="C1104" s="9" t="str">
        <f>IFERROR(__xludf.DUMMYFUNCTION("""COMPUTED_VALUE"""),"hug*****69388@gmail.com")</f>
        <v>hug*****69388@gmail.com</v>
      </c>
      <c r="D1104" s="9" t="str">
        <f>IFERROR(__xludf.DUMMYFUNCTION("""COMPUTED_VALUE"""),"國立臺南家齊高級中等學校")</f>
        <v>國立臺南家齊高級中等學校</v>
      </c>
      <c r="E1104" s="9" t="str">
        <f>IFERROR(__xludf.DUMMYFUNCTION("""COMPUTED_VALUE"""),"普通科")</f>
        <v>普通科</v>
      </c>
      <c r="F1104" s="9" t="str">
        <f>IFERROR(__xludf.DUMMYFUNCTION("""COMPUTED_VALUE"""),"一年級")</f>
        <v>一年級</v>
      </c>
      <c r="G1104" s="10" t="str">
        <f>IFERROR(__xludf.DUMMYFUNCTION("""COMPUTED_VALUE"""),"獎狀")</f>
        <v>獎狀</v>
      </c>
      <c r="H1104" s="11"/>
    </row>
    <row r="1105">
      <c r="A1105" s="5" t="s">
        <v>9</v>
      </c>
      <c r="B1105" s="9" t="str">
        <f>IFERROR(__xludf.DUMMYFUNCTION("""COMPUTED_VALUE"""),"黃O翰")</f>
        <v>黃O翰</v>
      </c>
      <c r="C1105" s="9" t="str">
        <f>IFERROR(__xludf.DUMMYFUNCTION("""COMPUTED_VALUE"""),"st2*****9@mail.edu.tw")</f>
        <v>st2*****9@mail.edu.tw</v>
      </c>
      <c r="D1105" s="9" t="str">
        <f>IFERROR(__xludf.DUMMYFUNCTION("""COMPUTED_VALUE"""),"國立臺南第一高級中學")</f>
        <v>國立臺南第一高級中學</v>
      </c>
      <c r="E1105" s="9" t="str">
        <f>IFERROR(__xludf.DUMMYFUNCTION("""COMPUTED_VALUE"""),"普通科")</f>
        <v>普通科</v>
      </c>
      <c r="F1105" s="9" t="str">
        <f>IFERROR(__xludf.DUMMYFUNCTION("""COMPUTED_VALUE"""),"一年級")</f>
        <v>一年級</v>
      </c>
      <c r="G1105" s="10" t="str">
        <f>IFERROR(__xludf.DUMMYFUNCTION("""COMPUTED_VALUE"""),"獎狀")</f>
        <v>獎狀</v>
      </c>
      <c r="H1105" s="11" t="str">
        <f>IFERROR(__xludf.DUMMYFUNCTION("""COMPUTED_VALUE"""),"學籍資料不齊，請提供【就讀班級】")</f>
        <v>學籍資料不齊，請提供【就讀班級】</v>
      </c>
    </row>
    <row r="1106">
      <c r="A1106" s="5" t="s">
        <v>9</v>
      </c>
      <c r="B1106" s="9" t="str">
        <f>IFERROR(__xludf.DUMMYFUNCTION("""COMPUTED_VALUE"""),"何O叡")</f>
        <v>何O叡</v>
      </c>
      <c r="C1106" s="9" t="str">
        <f>IFERROR(__xludf.DUMMYFUNCTION("""COMPUTED_VALUE"""),"st7*****0@mail.edu.tw")</f>
        <v>st7*****0@mail.edu.tw</v>
      </c>
      <c r="D1106" s="9" t="str">
        <f>IFERROR(__xludf.DUMMYFUNCTION("""COMPUTED_VALUE"""),"國立臺南第一高級中學")</f>
        <v>國立臺南第一高級中學</v>
      </c>
      <c r="E1106" s="9" t="str">
        <f>IFERROR(__xludf.DUMMYFUNCTION("""COMPUTED_VALUE"""),"普通科")</f>
        <v>普通科</v>
      </c>
      <c r="F1106" s="9" t="str">
        <f>IFERROR(__xludf.DUMMYFUNCTION("""COMPUTED_VALUE"""),"一年級")</f>
        <v>一年級</v>
      </c>
      <c r="G1106" s="10" t="str">
        <f>IFERROR(__xludf.DUMMYFUNCTION("""COMPUTED_VALUE"""),"獎狀")</f>
        <v>獎狀</v>
      </c>
      <c r="H1106" s="11"/>
    </row>
    <row r="1107">
      <c r="A1107" s="5" t="s">
        <v>9</v>
      </c>
      <c r="B1107" s="9" t="str">
        <f>IFERROR(__xludf.DUMMYFUNCTION("""COMPUTED_VALUE"""),"李O叡")</f>
        <v>李O叡</v>
      </c>
      <c r="C1107" s="9" t="str">
        <f>IFERROR(__xludf.DUMMYFUNCTION("""COMPUTED_VALUE"""),"hey*****mper@gmail.com")</f>
        <v>hey*****mper@gmail.com</v>
      </c>
      <c r="D1107" s="9" t="str">
        <f>IFERROR(__xludf.DUMMYFUNCTION("""COMPUTED_VALUE"""),"國立臺南第一高級中學")</f>
        <v>國立臺南第一高級中學</v>
      </c>
      <c r="E1107" s="9" t="str">
        <f>IFERROR(__xludf.DUMMYFUNCTION("""COMPUTED_VALUE"""),"普通科")</f>
        <v>普通科</v>
      </c>
      <c r="F1107" s="9" t="str">
        <f>IFERROR(__xludf.DUMMYFUNCTION("""COMPUTED_VALUE"""),"一年級")</f>
        <v>一年級</v>
      </c>
      <c r="G1107" s="10" t="str">
        <f>IFERROR(__xludf.DUMMYFUNCTION("""COMPUTED_VALUE"""),"獎狀")</f>
        <v>獎狀</v>
      </c>
      <c r="H1107" s="11" t="str">
        <f>IFERROR(__xludf.DUMMYFUNCTION("""COMPUTED_VALUE"""),"學籍資料不齊，請提供【就讀班級】")</f>
        <v>學籍資料不齊，請提供【就讀班級】</v>
      </c>
    </row>
    <row r="1108">
      <c r="A1108" s="5" t="s">
        <v>9</v>
      </c>
      <c r="B1108" s="9" t="str">
        <f>IFERROR(__xludf.DUMMYFUNCTION("""COMPUTED_VALUE"""),"魏O軒")</f>
        <v>魏O軒</v>
      </c>
      <c r="C1108" s="9" t="str">
        <f>IFERROR(__xludf.DUMMYFUNCTION("""COMPUTED_VALUE"""),"joy*****8@gmail.com")</f>
        <v>joy*****8@gmail.com</v>
      </c>
      <c r="D1108" s="9" t="str">
        <f>IFERROR(__xludf.DUMMYFUNCTION("""COMPUTED_VALUE"""),"國立臺南第一高級中學")</f>
        <v>國立臺南第一高級中學</v>
      </c>
      <c r="E1108" s="9" t="str">
        <f>IFERROR(__xludf.DUMMYFUNCTION("""COMPUTED_VALUE"""),"普通科")</f>
        <v>普通科</v>
      </c>
      <c r="F1108" s="9" t="str">
        <f>IFERROR(__xludf.DUMMYFUNCTION("""COMPUTED_VALUE"""),"三年級")</f>
        <v>三年級</v>
      </c>
      <c r="G1108" s="10" t="str">
        <f>IFERROR(__xludf.DUMMYFUNCTION("""COMPUTED_VALUE"""),"獎狀")</f>
        <v>獎狀</v>
      </c>
      <c r="H1108" s="9"/>
    </row>
    <row r="1109">
      <c r="A1109" s="5" t="s">
        <v>9</v>
      </c>
      <c r="B1109" s="9" t="str">
        <f>IFERROR(__xludf.DUMMYFUNCTION("""COMPUTED_VALUE"""),"趙O陞")</f>
        <v>趙O陞</v>
      </c>
      <c r="C1109" s="9" t="str">
        <f>IFERROR(__xludf.DUMMYFUNCTION("""COMPUTED_VALUE"""),"st6*****1.tn@mail.edu.tw")</f>
        <v>st6*****1.tn@mail.edu.tw</v>
      </c>
      <c r="D1109" s="9" t="str">
        <f>IFERROR(__xludf.DUMMYFUNCTION("""COMPUTED_VALUE"""),"國立臺南第一高級中學")</f>
        <v>國立臺南第一高級中學</v>
      </c>
      <c r="E1109" s="9" t="str">
        <f>IFERROR(__xludf.DUMMYFUNCTION("""COMPUTED_VALUE"""),"普通科")</f>
        <v>普通科</v>
      </c>
      <c r="F1109" s="9" t="str">
        <f>IFERROR(__xludf.DUMMYFUNCTION("""COMPUTED_VALUE"""),"三年級")</f>
        <v>三年級</v>
      </c>
      <c r="G1109" s="10" t="str">
        <f>IFERROR(__xludf.DUMMYFUNCTION("""COMPUTED_VALUE"""),"獎狀")</f>
        <v>獎狀</v>
      </c>
      <c r="H1109" s="9"/>
    </row>
    <row r="1110">
      <c r="A1110" s="5" t="s">
        <v>9</v>
      </c>
      <c r="B1110" s="9" t="str">
        <f>IFERROR(__xludf.DUMMYFUNCTION("""COMPUTED_VALUE"""),"陳O宏")</f>
        <v>陳O宏</v>
      </c>
      <c r="C1110" s="9" t="str">
        <f>IFERROR(__xludf.DUMMYFUNCTION("""COMPUTED_VALUE"""),"che*****hong0428@gmail.com")</f>
        <v>che*****hong0428@gmail.com</v>
      </c>
      <c r="D1110" s="9" t="str">
        <f>IFERROR(__xludf.DUMMYFUNCTION("""COMPUTED_VALUE"""),"國立臺南第一高級中學")</f>
        <v>國立臺南第一高級中學</v>
      </c>
      <c r="E1110" s="9" t="str">
        <f>IFERROR(__xludf.DUMMYFUNCTION("""COMPUTED_VALUE"""),"普通科")</f>
        <v>普通科</v>
      </c>
      <c r="F1110" s="9" t="str">
        <f>IFERROR(__xludf.DUMMYFUNCTION("""COMPUTED_VALUE"""),"三年級")</f>
        <v>三年級</v>
      </c>
      <c r="G1110" s="10" t="str">
        <f>IFERROR(__xludf.DUMMYFUNCTION("""COMPUTED_VALUE"""),"獎狀")</f>
        <v>獎狀</v>
      </c>
      <c r="H1110" s="9"/>
    </row>
    <row r="1111">
      <c r="A1111" s="5" t="s">
        <v>9</v>
      </c>
      <c r="B1111" s="9" t="str">
        <f>IFERROR(__xludf.DUMMYFUNCTION("""COMPUTED_VALUE"""),"鄭O淳")</f>
        <v>鄭O淳</v>
      </c>
      <c r="C1111" s="9" t="str">
        <f>IFERROR(__xludf.DUMMYFUNCTION("""COMPUTED_VALUE"""),"390*****t.cjshs.tn.edu.tw")</f>
        <v>390*****t.cjshs.tn.edu.tw</v>
      </c>
      <c r="D1111" s="9" t="str">
        <f>IFERROR(__xludf.DUMMYFUNCTION("""COMPUTED_VALUE"""),"臺南市私立長榮高級中學")</f>
        <v>臺南市私立長榮高級中學</v>
      </c>
      <c r="E1111" s="9" t="str">
        <f>IFERROR(__xludf.DUMMYFUNCTION("""COMPUTED_VALUE"""),"普通科")</f>
        <v>普通科</v>
      </c>
      <c r="F1111" s="9" t="str">
        <f>IFERROR(__xludf.DUMMYFUNCTION("""COMPUTED_VALUE"""),"二年級")</f>
        <v>二年級</v>
      </c>
      <c r="G1111" s="10" t="str">
        <f>IFERROR(__xludf.DUMMYFUNCTION("""COMPUTED_VALUE"""),"獎狀")</f>
        <v>獎狀</v>
      </c>
      <c r="H1111" s="9"/>
    </row>
    <row r="1112">
      <c r="A1112" s="5" t="s">
        <v>9</v>
      </c>
      <c r="B1112" s="9" t="str">
        <f>IFERROR(__xludf.DUMMYFUNCTION("""COMPUTED_VALUE"""),"陳O寧")</f>
        <v>陳O寧</v>
      </c>
      <c r="C1112" s="9" t="str">
        <f>IFERROR(__xludf.DUMMYFUNCTION("""COMPUTED_VALUE"""),"sop*****10133@gmail.com")</f>
        <v>sop*****10133@gmail.com</v>
      </c>
      <c r="D1112" s="9" t="str">
        <f>IFERROR(__xludf.DUMMYFUNCTION("""COMPUTED_VALUE"""),"臺南市德光高級中學")</f>
        <v>臺南市德光高級中學</v>
      </c>
      <c r="E1112" s="9" t="str">
        <f>IFERROR(__xludf.DUMMYFUNCTION("""COMPUTED_VALUE"""),"普通科")</f>
        <v>普通科</v>
      </c>
      <c r="F1112" s="9" t="str">
        <f>IFERROR(__xludf.DUMMYFUNCTION("""COMPUTED_VALUE"""),"一年級")</f>
        <v>一年級</v>
      </c>
      <c r="G1112" s="10" t="str">
        <f>IFERROR(__xludf.DUMMYFUNCTION("""COMPUTED_VALUE"""),"★商品卡$1000")</f>
        <v>★商品卡$1000</v>
      </c>
      <c r="H1112" s="9"/>
    </row>
    <row r="1113">
      <c r="A1113" s="5" t="s">
        <v>9</v>
      </c>
      <c r="B1113" s="9" t="str">
        <f>IFERROR(__xludf.DUMMYFUNCTION("""COMPUTED_VALUE"""),"毛O慧")</f>
        <v>毛O慧</v>
      </c>
      <c r="C1113" s="9" t="str">
        <f>IFERROR(__xludf.DUMMYFUNCTION("""COMPUTED_VALUE"""),"mao*****ie1025@gmail.com")</f>
        <v>mao*****ie1025@gmail.com</v>
      </c>
      <c r="D1113" s="9" t="str">
        <f>IFERROR(__xludf.DUMMYFUNCTION("""COMPUTED_VALUE"""),"臺南市德光高級中學")</f>
        <v>臺南市德光高級中學</v>
      </c>
      <c r="E1113" s="9" t="str">
        <f>IFERROR(__xludf.DUMMYFUNCTION("""COMPUTED_VALUE"""),"普通科")</f>
        <v>普通科</v>
      </c>
      <c r="F1113" s="9" t="str">
        <f>IFERROR(__xludf.DUMMYFUNCTION("""COMPUTED_VALUE"""),"一年級")</f>
        <v>一年級</v>
      </c>
      <c r="G1113" s="10" t="str">
        <f>IFERROR(__xludf.DUMMYFUNCTION("""COMPUTED_VALUE"""),"獎狀")</f>
        <v>獎狀</v>
      </c>
      <c r="H1113" s="11"/>
    </row>
    <row r="1114">
      <c r="A1114" s="5" t="s">
        <v>9</v>
      </c>
      <c r="B1114" s="9" t="str">
        <f>IFERROR(__xludf.DUMMYFUNCTION("""COMPUTED_VALUE"""),"李O昱")</f>
        <v>李O昱</v>
      </c>
      <c r="C1114" s="9" t="str">
        <f>IFERROR(__xludf.DUMMYFUNCTION("""COMPUTED_VALUE"""),"ssa*****0528@gmail.com")</f>
        <v>ssa*****0528@gmail.com</v>
      </c>
      <c r="D1114" s="9" t="str">
        <f>IFERROR(__xludf.DUMMYFUNCTION("""COMPUTED_VALUE"""),"臺南市德光高級中學")</f>
        <v>臺南市德光高級中學</v>
      </c>
      <c r="E1114" s="9" t="str">
        <f>IFERROR(__xludf.DUMMYFUNCTION("""COMPUTED_VALUE"""),"普通科")</f>
        <v>普通科</v>
      </c>
      <c r="F1114" s="9" t="str">
        <f>IFERROR(__xludf.DUMMYFUNCTION("""COMPUTED_VALUE"""),"一年級")</f>
        <v>一年級</v>
      </c>
      <c r="G1114" s="10" t="str">
        <f>IFERROR(__xludf.DUMMYFUNCTION("""COMPUTED_VALUE"""),"獎狀")</f>
        <v>獎狀</v>
      </c>
      <c r="H1114" s="11"/>
    </row>
    <row r="1115">
      <c r="A1115" s="5" t="s">
        <v>9</v>
      </c>
      <c r="B1115" s="9" t="str">
        <f>IFERROR(__xludf.DUMMYFUNCTION("""COMPUTED_VALUE"""),"謝O臻")</f>
        <v>謝O臻</v>
      </c>
      <c r="C1115" s="9" t="str">
        <f>IFERROR(__xludf.DUMMYFUNCTION("""COMPUTED_VALUE"""),"311*****kgsh.tn.edu.tw")</f>
        <v>311*****kgsh.tn.edu.tw</v>
      </c>
      <c r="D1115" s="9" t="str">
        <f>IFERROR(__xludf.DUMMYFUNCTION("""COMPUTED_VALUE"""),"臺南市德光高級中學")</f>
        <v>臺南市德光高級中學</v>
      </c>
      <c r="E1115" s="9" t="str">
        <f>IFERROR(__xludf.DUMMYFUNCTION("""COMPUTED_VALUE"""),"普通科")</f>
        <v>普通科</v>
      </c>
      <c r="F1115" s="9" t="str">
        <f>IFERROR(__xludf.DUMMYFUNCTION("""COMPUTED_VALUE"""),"二年級")</f>
        <v>二年級</v>
      </c>
      <c r="G1115" s="10" t="str">
        <f>IFERROR(__xludf.DUMMYFUNCTION("""COMPUTED_VALUE"""),"■商品卡$200")</f>
        <v>■商品卡$200</v>
      </c>
      <c r="H1115" s="11"/>
    </row>
    <row r="1116">
      <c r="A1116" s="5" t="s">
        <v>9</v>
      </c>
      <c r="B1116" s="9" t="str">
        <f>IFERROR(__xludf.DUMMYFUNCTION("""COMPUTED_VALUE"""),"吳O瑢")</f>
        <v>吳O瑢</v>
      </c>
      <c r="C1116" s="9" t="str">
        <f>IFERROR(__xludf.DUMMYFUNCTION("""COMPUTED_VALUE"""),"qqm*****@gmail.com")</f>
        <v>qqm*****@gmail.com</v>
      </c>
      <c r="D1116" s="9" t="str">
        <f>IFERROR(__xludf.DUMMYFUNCTION("""COMPUTED_VALUE"""),"天主教聖功學校財團法人臺南市天主教聖功女子高級中學")</f>
        <v>天主教聖功學校財團法人臺南市天主教聖功女子高級中學</v>
      </c>
      <c r="E1116" s="9" t="str">
        <f>IFERROR(__xludf.DUMMYFUNCTION("""COMPUTED_VALUE"""),"普通科")</f>
        <v>普通科</v>
      </c>
      <c r="F1116" s="9" t="str">
        <f>IFERROR(__xludf.DUMMYFUNCTION("""COMPUTED_VALUE"""),"一年級")</f>
        <v>一年級</v>
      </c>
      <c r="G1116" s="10" t="str">
        <f>IFERROR(__xludf.DUMMYFUNCTION("""COMPUTED_VALUE"""),"獎狀")</f>
        <v>獎狀</v>
      </c>
      <c r="H1116" s="11"/>
    </row>
    <row r="1117">
      <c r="A1117" s="5" t="s">
        <v>9</v>
      </c>
      <c r="B1117" s="9" t="str">
        <f>IFERROR(__xludf.DUMMYFUNCTION("""COMPUTED_VALUE"""),"張O裴")</f>
        <v>張O裴</v>
      </c>
      <c r="C1117" s="9" t="str">
        <f>IFERROR(__xludf.DUMMYFUNCTION("""COMPUTED_VALUE"""),"s11*****0@skgsh.tn.edu.tw")</f>
        <v>s11*****0@skgsh.tn.edu.tw</v>
      </c>
      <c r="D1117" s="9" t="str">
        <f>IFERROR(__xludf.DUMMYFUNCTION("""COMPUTED_VALUE"""),"天主教聖功學校財團法人臺南市天主教聖功女子高級中學")</f>
        <v>天主教聖功學校財團法人臺南市天主教聖功女子高級中學</v>
      </c>
      <c r="E1117" s="9" t="str">
        <f>IFERROR(__xludf.DUMMYFUNCTION("""COMPUTED_VALUE"""),"普通科")</f>
        <v>普通科</v>
      </c>
      <c r="F1117" s="9" t="str">
        <f>IFERROR(__xludf.DUMMYFUNCTION("""COMPUTED_VALUE"""),"一年級")</f>
        <v>一年級</v>
      </c>
      <c r="G1117" s="10" t="str">
        <f>IFERROR(__xludf.DUMMYFUNCTION("""COMPUTED_VALUE"""),"獎狀")</f>
        <v>獎狀</v>
      </c>
      <c r="H1117" s="9"/>
    </row>
    <row r="1118">
      <c r="A1118" s="5" t="s">
        <v>9</v>
      </c>
      <c r="B1118" s="9" t="str">
        <f>IFERROR(__xludf.DUMMYFUNCTION("""COMPUTED_VALUE"""),"周O諒")</f>
        <v>周O諒</v>
      </c>
      <c r="C1118" s="9" t="str">
        <f>IFERROR(__xludf.DUMMYFUNCTION("""COMPUTED_VALUE"""),"s11*****9@skgsh.tn.edu.tw")</f>
        <v>s11*****9@skgsh.tn.edu.tw</v>
      </c>
      <c r="D1118" s="9" t="str">
        <f>IFERROR(__xludf.DUMMYFUNCTION("""COMPUTED_VALUE"""),"天主教聖功學校財團法人臺南市天主教聖功女子高級中學")</f>
        <v>天主教聖功學校財團法人臺南市天主教聖功女子高級中學</v>
      </c>
      <c r="E1118" s="9" t="str">
        <f>IFERROR(__xludf.DUMMYFUNCTION("""COMPUTED_VALUE"""),"普通科")</f>
        <v>普通科</v>
      </c>
      <c r="F1118" s="9" t="str">
        <f>IFERROR(__xludf.DUMMYFUNCTION("""COMPUTED_VALUE"""),"一年級")</f>
        <v>一年級</v>
      </c>
      <c r="G1118" s="10" t="str">
        <f>IFERROR(__xludf.DUMMYFUNCTION("""COMPUTED_VALUE"""),"獎狀")</f>
        <v>獎狀</v>
      </c>
      <c r="H1118" s="9"/>
    </row>
    <row r="1119">
      <c r="A1119" s="5" t="s">
        <v>9</v>
      </c>
      <c r="B1119" s="9" t="str">
        <f>IFERROR(__xludf.DUMMYFUNCTION("""COMPUTED_VALUE"""),"洪O喬")</f>
        <v>洪O喬</v>
      </c>
      <c r="C1119" s="9" t="str">
        <f>IFERROR(__xludf.DUMMYFUNCTION("""COMPUTED_VALUE"""),"s11*****7@skgsh.tn.edu.tw")</f>
        <v>s11*****7@skgsh.tn.edu.tw</v>
      </c>
      <c r="D1119" s="9" t="str">
        <f>IFERROR(__xludf.DUMMYFUNCTION("""COMPUTED_VALUE"""),"天主教聖功學校財團法人臺南市天主教聖功女子高級中學")</f>
        <v>天主教聖功學校財團法人臺南市天主教聖功女子高級中學</v>
      </c>
      <c r="E1119" s="9" t="str">
        <f>IFERROR(__xludf.DUMMYFUNCTION("""COMPUTED_VALUE"""),"普通科")</f>
        <v>普通科</v>
      </c>
      <c r="F1119" s="9" t="str">
        <f>IFERROR(__xludf.DUMMYFUNCTION("""COMPUTED_VALUE"""),"一年級")</f>
        <v>一年級</v>
      </c>
      <c r="G1119" s="10" t="str">
        <f>IFERROR(__xludf.DUMMYFUNCTION("""COMPUTED_VALUE"""),"獎狀")</f>
        <v>獎狀</v>
      </c>
      <c r="H1119" s="9"/>
    </row>
    <row r="1120">
      <c r="A1120" s="5" t="s">
        <v>9</v>
      </c>
      <c r="B1120" s="9" t="str">
        <f>IFERROR(__xludf.DUMMYFUNCTION("""COMPUTED_VALUE"""),"陳O璿")</f>
        <v>陳O璿</v>
      </c>
      <c r="C1120" s="9" t="str">
        <f>IFERROR(__xludf.DUMMYFUNCTION("""COMPUTED_VALUE"""),"s11*****4@skgsh.tn.edu.tw")</f>
        <v>s11*****4@skgsh.tn.edu.tw</v>
      </c>
      <c r="D1120" s="9" t="str">
        <f>IFERROR(__xludf.DUMMYFUNCTION("""COMPUTED_VALUE"""),"天主教聖功學校財團法人臺南市天主教聖功女子高級中學")</f>
        <v>天主教聖功學校財團法人臺南市天主教聖功女子高級中學</v>
      </c>
      <c r="E1120" s="9" t="str">
        <f>IFERROR(__xludf.DUMMYFUNCTION("""COMPUTED_VALUE"""),"普通科")</f>
        <v>普通科</v>
      </c>
      <c r="F1120" s="9" t="str">
        <f>IFERROR(__xludf.DUMMYFUNCTION("""COMPUTED_VALUE"""),"一年級")</f>
        <v>一年級</v>
      </c>
      <c r="G1120" s="10" t="str">
        <f>IFERROR(__xludf.DUMMYFUNCTION("""COMPUTED_VALUE"""),"獎狀")</f>
        <v>獎狀</v>
      </c>
      <c r="H1120" s="9"/>
    </row>
    <row r="1121">
      <c r="A1121" s="5" t="s">
        <v>9</v>
      </c>
      <c r="B1121" s="9" t="str">
        <f>IFERROR(__xludf.DUMMYFUNCTION("""COMPUTED_VALUE"""),"蔡O萱")</f>
        <v>蔡O萱</v>
      </c>
      <c r="C1121" s="9" t="str">
        <f>IFERROR(__xludf.DUMMYFUNCTION("""COMPUTED_VALUE"""),"s11*****9@skgsh.tn.edu.tw")</f>
        <v>s11*****9@skgsh.tn.edu.tw</v>
      </c>
      <c r="D1121" s="9" t="str">
        <f>IFERROR(__xludf.DUMMYFUNCTION("""COMPUTED_VALUE"""),"天主教聖功學校財團法人臺南市天主教聖功女子高級中學")</f>
        <v>天主教聖功學校財團法人臺南市天主教聖功女子高級中學</v>
      </c>
      <c r="E1121" s="9" t="str">
        <f>IFERROR(__xludf.DUMMYFUNCTION("""COMPUTED_VALUE"""),"普通科")</f>
        <v>普通科</v>
      </c>
      <c r="F1121" s="9" t="str">
        <f>IFERROR(__xludf.DUMMYFUNCTION("""COMPUTED_VALUE"""),"一年級")</f>
        <v>一年級</v>
      </c>
      <c r="G1121" s="10" t="str">
        <f>IFERROR(__xludf.DUMMYFUNCTION("""COMPUTED_VALUE"""),"獎狀")</f>
        <v>獎狀</v>
      </c>
      <c r="H1121" s="9"/>
    </row>
    <row r="1122">
      <c r="A1122" s="5" t="s">
        <v>9</v>
      </c>
      <c r="B1122" s="9" t="str">
        <f>IFERROR(__xludf.DUMMYFUNCTION("""COMPUTED_VALUE"""),"蘇O如")</f>
        <v>蘇O如</v>
      </c>
      <c r="C1122" s="9" t="str">
        <f>IFERROR(__xludf.DUMMYFUNCTION("""COMPUTED_VALUE"""),"s11*****8@skgsh.tn.edu.tw")</f>
        <v>s11*****8@skgsh.tn.edu.tw</v>
      </c>
      <c r="D1122" s="9" t="str">
        <f>IFERROR(__xludf.DUMMYFUNCTION("""COMPUTED_VALUE"""),"天主教聖功學校財團法人臺南市天主教聖功女子高級中學")</f>
        <v>天主教聖功學校財團法人臺南市天主教聖功女子高級中學</v>
      </c>
      <c r="E1122" s="9" t="str">
        <f>IFERROR(__xludf.DUMMYFUNCTION("""COMPUTED_VALUE"""),"普通科")</f>
        <v>普通科</v>
      </c>
      <c r="F1122" s="9" t="str">
        <f>IFERROR(__xludf.DUMMYFUNCTION("""COMPUTED_VALUE"""),"一年級")</f>
        <v>一年級</v>
      </c>
      <c r="G1122" s="10" t="str">
        <f>IFERROR(__xludf.DUMMYFUNCTION("""COMPUTED_VALUE"""),"■商品卡$200")</f>
        <v>■商品卡$200</v>
      </c>
      <c r="H1122" s="9"/>
    </row>
    <row r="1123">
      <c r="A1123" s="5" t="s">
        <v>9</v>
      </c>
      <c r="B1123" s="9" t="str">
        <f>IFERROR(__xludf.DUMMYFUNCTION("""COMPUTED_VALUE"""),"林O璟")</f>
        <v>林O璟</v>
      </c>
      <c r="C1123" s="9" t="str">
        <f>IFERROR(__xludf.DUMMYFUNCTION("""COMPUTED_VALUE"""),"s11*****1@skgsh.tn.edu.tw")</f>
        <v>s11*****1@skgsh.tn.edu.tw</v>
      </c>
      <c r="D1123" s="9" t="str">
        <f>IFERROR(__xludf.DUMMYFUNCTION("""COMPUTED_VALUE"""),"天主教聖功學校財團法人臺南市天主教聖功女子高級中學")</f>
        <v>天主教聖功學校財團法人臺南市天主教聖功女子高級中學</v>
      </c>
      <c r="E1123" s="9" t="str">
        <f>IFERROR(__xludf.DUMMYFUNCTION("""COMPUTED_VALUE"""),"普通科")</f>
        <v>普通科</v>
      </c>
      <c r="F1123" s="9" t="str">
        <f>IFERROR(__xludf.DUMMYFUNCTION("""COMPUTED_VALUE"""),"一年級")</f>
        <v>一年級</v>
      </c>
      <c r="G1123" s="10" t="str">
        <f>IFERROR(__xludf.DUMMYFUNCTION("""COMPUTED_VALUE"""),"獎狀")</f>
        <v>獎狀</v>
      </c>
      <c r="H1123" s="9"/>
    </row>
    <row r="1124">
      <c r="A1124" s="5" t="s">
        <v>9</v>
      </c>
      <c r="B1124" s="9" t="str">
        <f>IFERROR(__xludf.DUMMYFUNCTION("""COMPUTED_VALUE"""),"陳O凝")</f>
        <v>陳O凝</v>
      </c>
      <c r="C1124" s="9" t="str">
        <f>IFERROR(__xludf.DUMMYFUNCTION("""COMPUTED_VALUE"""),"s11*****0@skgsh.tn.edu.tw")</f>
        <v>s11*****0@skgsh.tn.edu.tw</v>
      </c>
      <c r="D1124" s="9" t="str">
        <f>IFERROR(__xludf.DUMMYFUNCTION("""COMPUTED_VALUE"""),"天主教聖功學校財團法人臺南市天主教聖功女子高級中學")</f>
        <v>天主教聖功學校財團法人臺南市天主教聖功女子高級中學</v>
      </c>
      <c r="E1124" s="9" t="str">
        <f>IFERROR(__xludf.DUMMYFUNCTION("""COMPUTED_VALUE"""),"普通科")</f>
        <v>普通科</v>
      </c>
      <c r="F1124" s="9" t="str">
        <f>IFERROR(__xludf.DUMMYFUNCTION("""COMPUTED_VALUE"""),"一年級")</f>
        <v>一年級</v>
      </c>
      <c r="G1124" s="10" t="str">
        <f>IFERROR(__xludf.DUMMYFUNCTION("""COMPUTED_VALUE"""),"■商品卡$200")</f>
        <v>■商品卡$200</v>
      </c>
      <c r="H1124" s="9"/>
    </row>
    <row r="1125">
      <c r="A1125" s="5" t="s">
        <v>9</v>
      </c>
      <c r="B1125" s="9" t="str">
        <f>IFERROR(__xludf.DUMMYFUNCTION("""COMPUTED_VALUE"""),"張O橋")</f>
        <v>張O橋</v>
      </c>
      <c r="C1125" s="9" t="str">
        <f>IFERROR(__xludf.DUMMYFUNCTION("""COMPUTED_VALUE"""),"s11*****2@skgsh.tn.edu.tw")</f>
        <v>s11*****2@skgsh.tn.edu.tw</v>
      </c>
      <c r="D1125" s="9" t="str">
        <f>IFERROR(__xludf.DUMMYFUNCTION("""COMPUTED_VALUE"""),"天主教聖功學校財團法人臺南市天主教聖功女子高級中學")</f>
        <v>天主教聖功學校財團法人臺南市天主教聖功女子高級中學</v>
      </c>
      <c r="E1125" s="9" t="str">
        <f>IFERROR(__xludf.DUMMYFUNCTION("""COMPUTED_VALUE"""),"普通科")</f>
        <v>普通科</v>
      </c>
      <c r="F1125" s="9" t="str">
        <f>IFERROR(__xludf.DUMMYFUNCTION("""COMPUTED_VALUE"""),"一年級")</f>
        <v>一年級</v>
      </c>
      <c r="G1125" s="10" t="str">
        <f>IFERROR(__xludf.DUMMYFUNCTION("""COMPUTED_VALUE"""),"獎狀")</f>
        <v>獎狀</v>
      </c>
      <c r="H1125" s="9"/>
    </row>
    <row r="1126">
      <c r="A1126" s="5" t="s">
        <v>9</v>
      </c>
      <c r="B1126" s="9" t="str">
        <f>IFERROR(__xludf.DUMMYFUNCTION("""COMPUTED_VALUE"""),"周O弘")</f>
        <v>周O弘</v>
      </c>
      <c r="C1126" s="9" t="str">
        <f>IFERROR(__xludf.DUMMYFUNCTION("""COMPUTED_VALUE"""),"har*****chou104136@gmail.com")</f>
        <v>har*****chou104136@gmail.com</v>
      </c>
      <c r="D1126" s="9" t="str">
        <f>IFERROR(__xludf.DUMMYFUNCTION("""COMPUTED_VALUE"""),"慈濟學校財團法人臺南市私立慈濟高級中學")</f>
        <v>慈濟學校財團法人臺南市私立慈濟高級中學</v>
      </c>
      <c r="E1126" s="9" t="str">
        <f>IFERROR(__xludf.DUMMYFUNCTION("""COMPUTED_VALUE"""),"普通科")</f>
        <v>普通科</v>
      </c>
      <c r="F1126" s="9" t="str">
        <f>IFERROR(__xludf.DUMMYFUNCTION("""COMPUTED_VALUE"""),"二年級")</f>
        <v>二年級</v>
      </c>
      <c r="G1126" s="10" t="str">
        <f>IFERROR(__xludf.DUMMYFUNCTION("""COMPUTED_VALUE"""),"獎狀")</f>
        <v>獎狀</v>
      </c>
      <c r="H1126" s="9"/>
    </row>
    <row r="1127">
      <c r="A1127" s="5" t="s">
        <v>9</v>
      </c>
      <c r="B1127" s="9" t="str">
        <f>IFERROR(__xludf.DUMMYFUNCTION("""COMPUTED_VALUE"""),"江O凌")</f>
        <v>江O凌</v>
      </c>
      <c r="C1127" s="9" t="str">
        <f>IFERROR(__xludf.DUMMYFUNCTION("""COMPUTED_VALUE"""),"311*****m.tntcsh.tn.edu.tw")</f>
        <v>311*****m.tntcsh.tn.edu.tw</v>
      </c>
      <c r="D1127" s="9" t="str">
        <f>IFERROR(__xludf.DUMMYFUNCTION("""COMPUTED_VALUE"""),"國立臺南大學附屬高級中學")</f>
        <v>國立臺南大學附屬高級中學</v>
      </c>
      <c r="E1127" s="9" t="str">
        <f>IFERROR(__xludf.DUMMYFUNCTION("""COMPUTED_VALUE"""),"普通科")</f>
        <v>普通科</v>
      </c>
      <c r="F1127" s="9" t="str">
        <f>IFERROR(__xludf.DUMMYFUNCTION("""COMPUTED_VALUE"""),"二年級")</f>
        <v>二年級</v>
      </c>
      <c r="G1127" s="10" t="str">
        <f>IFERROR(__xludf.DUMMYFUNCTION("""COMPUTED_VALUE"""),"獎狀")</f>
        <v>獎狀</v>
      </c>
      <c r="H1127" s="9"/>
    </row>
    <row r="1128">
      <c r="A1128" s="5" t="s">
        <v>9</v>
      </c>
      <c r="B1128" s="9" t="str">
        <f>IFERROR(__xludf.DUMMYFUNCTION("""COMPUTED_VALUE"""),"李O庭")</f>
        <v>李O庭</v>
      </c>
      <c r="C1128" s="9" t="str">
        <f>IFERROR(__xludf.DUMMYFUNCTION("""COMPUTED_VALUE"""),"210*****m.tntcsh.tn.edu.tw")</f>
        <v>210*****m.tntcsh.tn.edu.tw</v>
      </c>
      <c r="D1128" s="9" t="str">
        <f>IFERROR(__xludf.DUMMYFUNCTION("""COMPUTED_VALUE"""),"國立臺南大學附屬高級中學")</f>
        <v>國立臺南大學附屬高級中學</v>
      </c>
      <c r="E1128" s="9" t="str">
        <f>IFERROR(__xludf.DUMMYFUNCTION("""COMPUTED_VALUE"""),"普通科")</f>
        <v>普通科</v>
      </c>
      <c r="F1128" s="9" t="str">
        <f>IFERROR(__xludf.DUMMYFUNCTION("""COMPUTED_VALUE"""),"三年級")</f>
        <v>三年級</v>
      </c>
      <c r="G1128" s="10" t="str">
        <f>IFERROR(__xludf.DUMMYFUNCTION("""COMPUTED_VALUE"""),"獎狀")</f>
        <v>獎狀</v>
      </c>
      <c r="H1128" s="9"/>
    </row>
    <row r="1129">
      <c r="A1129" s="5" t="s">
        <v>9</v>
      </c>
      <c r="B1129" s="9" t="str">
        <f>IFERROR(__xludf.DUMMYFUNCTION("""COMPUTED_VALUE"""),"陳O科")</f>
        <v>陳O科</v>
      </c>
      <c r="C1129" s="9" t="str">
        <f>IFERROR(__xludf.DUMMYFUNCTION("""COMPUTED_VALUE"""),"s21*****sfsh.tn.edu.tw")</f>
        <v>s21*****sfsh.tn.edu.tw</v>
      </c>
      <c r="D1129" s="9" t="str">
        <f>IFERROR(__xludf.DUMMYFUNCTION("""COMPUTED_VALUE"""),"國立新豐高級中學")</f>
        <v>國立新豐高級中學</v>
      </c>
      <c r="E1129" s="9" t="str">
        <f>IFERROR(__xludf.DUMMYFUNCTION("""COMPUTED_VALUE"""),"普通科")</f>
        <v>普通科</v>
      </c>
      <c r="F1129" s="9" t="str">
        <f>IFERROR(__xludf.DUMMYFUNCTION("""COMPUTED_VALUE"""),"三年級")</f>
        <v>三年級</v>
      </c>
      <c r="G1129" s="10" t="str">
        <f>IFERROR(__xludf.DUMMYFUNCTION("""COMPUTED_VALUE"""),"獎狀")</f>
        <v>獎狀</v>
      </c>
      <c r="H1129" s="9"/>
    </row>
    <row r="1130">
      <c r="A1130" s="5" t="s">
        <v>9</v>
      </c>
      <c r="B1130" s="9" t="str">
        <f>IFERROR(__xludf.DUMMYFUNCTION("""COMPUTED_VALUE"""),"陳O宸")</f>
        <v>陳O宸</v>
      </c>
      <c r="C1130" s="9" t="str">
        <f>IFERROR(__xludf.DUMMYFUNCTION("""COMPUTED_VALUE"""),"s21*****sfsh.tn.edu.tw")</f>
        <v>s21*****sfsh.tn.edu.tw</v>
      </c>
      <c r="D1130" s="9" t="str">
        <f>IFERROR(__xludf.DUMMYFUNCTION("""COMPUTED_VALUE"""),"國立新豐高級中學")</f>
        <v>國立新豐高級中學</v>
      </c>
      <c r="E1130" s="9" t="str">
        <f>IFERROR(__xludf.DUMMYFUNCTION("""COMPUTED_VALUE"""),"普通科")</f>
        <v>普通科</v>
      </c>
      <c r="F1130" s="9" t="str">
        <f>IFERROR(__xludf.DUMMYFUNCTION("""COMPUTED_VALUE"""),"三年級")</f>
        <v>三年級</v>
      </c>
      <c r="G1130" s="10" t="str">
        <f>IFERROR(__xludf.DUMMYFUNCTION("""COMPUTED_VALUE"""),"獎狀")</f>
        <v>獎狀</v>
      </c>
      <c r="H1130" s="9"/>
    </row>
    <row r="1131">
      <c r="A1131" s="5" t="s">
        <v>9</v>
      </c>
      <c r="B1131" s="9" t="str">
        <f>IFERROR(__xludf.DUMMYFUNCTION("""COMPUTED_VALUE"""),"黃O睿")</f>
        <v>黃O睿</v>
      </c>
      <c r="C1131" s="9" t="str">
        <f>IFERROR(__xludf.DUMMYFUNCTION("""COMPUTED_VALUE"""),"s21*****sfsh.tn.edu.tw")</f>
        <v>s21*****sfsh.tn.edu.tw</v>
      </c>
      <c r="D1131" s="9" t="str">
        <f>IFERROR(__xludf.DUMMYFUNCTION("""COMPUTED_VALUE"""),"國立新豐高級中學")</f>
        <v>國立新豐高級中學</v>
      </c>
      <c r="E1131" s="9" t="str">
        <f>IFERROR(__xludf.DUMMYFUNCTION("""COMPUTED_VALUE"""),"普通科")</f>
        <v>普通科</v>
      </c>
      <c r="F1131" s="9" t="str">
        <f>IFERROR(__xludf.DUMMYFUNCTION("""COMPUTED_VALUE"""),"三年級")</f>
        <v>三年級</v>
      </c>
      <c r="G1131" s="10" t="str">
        <f>IFERROR(__xludf.DUMMYFUNCTION("""COMPUTED_VALUE"""),"獎狀")</f>
        <v>獎狀</v>
      </c>
      <c r="H1131" s="9"/>
    </row>
    <row r="1132">
      <c r="A1132" s="5" t="s">
        <v>9</v>
      </c>
      <c r="B1132" s="9" t="str">
        <f>IFERROR(__xludf.DUMMYFUNCTION("""COMPUTED_VALUE"""),"陳O榛")</f>
        <v>陳O榛</v>
      </c>
      <c r="C1132" s="9" t="str">
        <f>IFERROR(__xludf.DUMMYFUNCTION("""COMPUTED_VALUE"""),"sy1*****6@gmail.com")</f>
        <v>sy1*****6@gmail.com</v>
      </c>
      <c r="D1132" s="9" t="str">
        <f>IFERROR(__xludf.DUMMYFUNCTION("""COMPUTED_VALUE"""),"方濟會學校財團法人臺南市黎明高級中學")</f>
        <v>方濟會學校財團法人臺南市黎明高級中學</v>
      </c>
      <c r="E1132" s="9" t="str">
        <f>IFERROR(__xludf.DUMMYFUNCTION("""COMPUTED_VALUE"""),"普通科")</f>
        <v>普通科</v>
      </c>
      <c r="F1132" s="9" t="str">
        <f>IFERROR(__xludf.DUMMYFUNCTION("""COMPUTED_VALUE"""),"二年級")</f>
        <v>二年級</v>
      </c>
      <c r="G1132" s="10" t="str">
        <f>IFERROR(__xludf.DUMMYFUNCTION("""COMPUTED_VALUE"""),"獎狀")</f>
        <v>獎狀</v>
      </c>
      <c r="H1132" s="9"/>
    </row>
    <row r="1133">
      <c r="A1133" s="5" t="s">
        <v>9</v>
      </c>
      <c r="B1133" s="9" t="str">
        <f>IFERROR(__xludf.DUMMYFUNCTION("""COMPUTED_VALUE"""),"陳O華")</f>
        <v>陳O華</v>
      </c>
      <c r="C1133" s="9" t="str">
        <f>IFERROR(__xludf.DUMMYFUNCTION("""COMPUTED_VALUE"""),"lm1*****8@gmail.com")</f>
        <v>lm1*****8@gmail.com</v>
      </c>
      <c r="D1133" s="9" t="str">
        <f>IFERROR(__xludf.DUMMYFUNCTION("""COMPUTED_VALUE"""),"方濟會學校財團法人臺南市黎明高級中學")</f>
        <v>方濟會學校財團法人臺南市黎明高級中學</v>
      </c>
      <c r="E1133" s="9" t="str">
        <f>IFERROR(__xludf.DUMMYFUNCTION("""COMPUTED_VALUE"""),"普通科")</f>
        <v>普通科</v>
      </c>
      <c r="F1133" s="9" t="str">
        <f>IFERROR(__xludf.DUMMYFUNCTION("""COMPUTED_VALUE"""),"三年級")</f>
        <v>三年級</v>
      </c>
      <c r="G1133" s="10" t="str">
        <f>IFERROR(__xludf.DUMMYFUNCTION("""COMPUTED_VALUE"""),"獎狀")</f>
        <v>獎狀</v>
      </c>
      <c r="H1133" s="9"/>
    </row>
    <row r="1134">
      <c r="A1134" s="5" t="s">
        <v>9</v>
      </c>
      <c r="B1134" s="9" t="str">
        <f>IFERROR(__xludf.DUMMYFUNCTION("""COMPUTED_VALUE"""),"楊O晴")</f>
        <v>楊O晴</v>
      </c>
      <c r="C1134" s="9" t="str">
        <f>IFERROR(__xludf.DUMMYFUNCTION("""COMPUTED_VALUE"""),"st5*****2.irene@mail.edu.tw")</f>
        <v>st5*****2.irene@mail.edu.tw</v>
      </c>
      <c r="D1134" s="9" t="str">
        <f>IFERROR(__xludf.DUMMYFUNCTION("""COMPUTED_VALUE"""),"國立北門高級中學")</f>
        <v>國立北門高級中學</v>
      </c>
      <c r="E1134" s="9" t="str">
        <f>IFERROR(__xludf.DUMMYFUNCTION("""COMPUTED_VALUE"""),"普通科")</f>
        <v>普通科</v>
      </c>
      <c r="F1134" s="9" t="str">
        <f>IFERROR(__xludf.DUMMYFUNCTION("""COMPUTED_VALUE"""),"一年級")</f>
        <v>一年級</v>
      </c>
      <c r="G1134" s="10" t="str">
        <f>IFERROR(__xludf.DUMMYFUNCTION("""COMPUTED_VALUE"""),"獎狀")</f>
        <v>獎狀</v>
      </c>
      <c r="H1134" s="11"/>
    </row>
    <row r="1135">
      <c r="A1135" s="5" t="s">
        <v>9</v>
      </c>
      <c r="B1135" s="9" t="str">
        <f>IFERROR(__xludf.DUMMYFUNCTION("""COMPUTED_VALUE"""),"蔡O昀")</f>
        <v>蔡O昀</v>
      </c>
      <c r="C1135" s="9" t="str">
        <f>IFERROR(__xludf.DUMMYFUNCTION("""COMPUTED_VALUE"""),"jea*****83@gmail.com")</f>
        <v>jea*****83@gmail.com</v>
      </c>
      <c r="D1135" s="9" t="str">
        <f>IFERROR(__xludf.DUMMYFUNCTION("""COMPUTED_VALUE"""),"臺南市私立港明高級中學")</f>
        <v>臺南市私立港明高級中學</v>
      </c>
      <c r="E1135" s="9" t="str">
        <f>IFERROR(__xludf.DUMMYFUNCTION("""COMPUTED_VALUE"""),"普通科")</f>
        <v>普通科</v>
      </c>
      <c r="F1135" s="9" t="str">
        <f>IFERROR(__xludf.DUMMYFUNCTION("""COMPUTED_VALUE"""),"一年級")</f>
        <v>一年級</v>
      </c>
      <c r="G1135" s="10" t="str">
        <f>IFERROR(__xludf.DUMMYFUNCTION("""COMPUTED_VALUE"""),"獎狀")</f>
        <v>獎狀</v>
      </c>
      <c r="H1135" s="11" t="str">
        <f>IFERROR(__xludf.DUMMYFUNCTION("""COMPUTED_VALUE"""),"學籍資料不齊，請提供【就讀班級】")</f>
        <v>學籍資料不齊，請提供【就讀班級】</v>
      </c>
    </row>
    <row r="1136">
      <c r="A1136" s="5" t="s">
        <v>9</v>
      </c>
      <c r="B1136" s="9" t="str">
        <f>IFERROR(__xludf.DUMMYFUNCTION("""COMPUTED_VALUE"""),"楊O荃")</f>
        <v>楊O荃</v>
      </c>
      <c r="C1136" s="9" t="str">
        <f>IFERROR(__xludf.DUMMYFUNCTION("""COMPUTED_VALUE"""),"110*****hkhs.tn.edu.tw")</f>
        <v>110*****hkhs.tn.edu.tw</v>
      </c>
      <c r="D1136" s="9" t="str">
        <f>IFERROR(__xludf.DUMMYFUNCTION("""COMPUTED_VALUE"""),"中信金國際學校財團法人臺南市私立中信國際高級中學")</f>
        <v>中信金國際學校財團法人臺南市私立中信國際高級中學</v>
      </c>
      <c r="E1136" s="9" t="str">
        <f>IFERROR(__xludf.DUMMYFUNCTION("""COMPUTED_VALUE"""),"普通科")</f>
        <v>普通科</v>
      </c>
      <c r="F1136" s="9" t="str">
        <f>IFERROR(__xludf.DUMMYFUNCTION("""COMPUTED_VALUE"""),"一年級")</f>
        <v>一年級</v>
      </c>
      <c r="G1136" s="10" t="str">
        <f>IFERROR(__xludf.DUMMYFUNCTION("""COMPUTED_VALUE"""),"獎狀")</f>
        <v>獎狀</v>
      </c>
      <c r="H1136" s="9"/>
    </row>
    <row r="1137">
      <c r="A1137" s="5" t="s">
        <v>9</v>
      </c>
      <c r="B1137" s="9" t="str">
        <f>IFERROR(__xludf.DUMMYFUNCTION("""COMPUTED_VALUE"""),"吳O霖")</f>
        <v>吳O霖</v>
      </c>
      <c r="C1137" s="9" t="str">
        <f>IFERROR(__xludf.DUMMYFUNCTION("""COMPUTED_VALUE"""),"110*****hkhs.tn.edu.tw")</f>
        <v>110*****hkhs.tn.edu.tw</v>
      </c>
      <c r="D1137" s="9" t="str">
        <f>IFERROR(__xludf.DUMMYFUNCTION("""COMPUTED_VALUE"""),"中信金國際學校財團法人臺南市私立中信國際高級中學")</f>
        <v>中信金國際學校財團法人臺南市私立中信國際高級中學</v>
      </c>
      <c r="E1137" s="9" t="str">
        <f>IFERROR(__xludf.DUMMYFUNCTION("""COMPUTED_VALUE"""),"普通科")</f>
        <v>普通科</v>
      </c>
      <c r="F1137" s="9" t="str">
        <f>IFERROR(__xludf.DUMMYFUNCTION("""COMPUTED_VALUE"""),"一年級")</f>
        <v>一年級</v>
      </c>
      <c r="G1137" s="10" t="str">
        <f>IFERROR(__xludf.DUMMYFUNCTION("""COMPUTED_VALUE"""),"獎狀")</f>
        <v>獎狀</v>
      </c>
      <c r="H1137" s="9"/>
    </row>
    <row r="1138">
      <c r="A1138" s="5" t="s">
        <v>9</v>
      </c>
      <c r="B1138" s="9" t="str">
        <f>IFERROR(__xludf.DUMMYFUNCTION("""COMPUTED_VALUE"""),"謝O喬")</f>
        <v>謝O喬</v>
      </c>
      <c r="C1138" s="9" t="str">
        <f>IFERROR(__xludf.DUMMYFUNCTION("""COMPUTED_VALUE"""),"jx2*****01@gmail.com")</f>
        <v>jx2*****01@gmail.com</v>
      </c>
      <c r="D1138" s="9" t="str">
        <f>IFERROR(__xludf.DUMMYFUNCTION("""COMPUTED_VALUE"""),"中信金國際學校財團法人臺南市私立中信國際高級中學")</f>
        <v>中信金國際學校財團法人臺南市私立中信國際高級中學</v>
      </c>
      <c r="E1138" s="9" t="str">
        <f>IFERROR(__xludf.DUMMYFUNCTION("""COMPUTED_VALUE"""),"普通科")</f>
        <v>普通科</v>
      </c>
      <c r="F1138" s="9" t="str">
        <f>IFERROR(__xludf.DUMMYFUNCTION("""COMPUTED_VALUE"""),"一年級")</f>
        <v>一年級</v>
      </c>
      <c r="G1138" s="10" t="str">
        <f>IFERROR(__xludf.DUMMYFUNCTION("""COMPUTED_VALUE"""),"獎狀")</f>
        <v>獎狀</v>
      </c>
      <c r="H1138" s="9"/>
    </row>
    <row r="1139">
      <c r="A1139" s="5" t="s">
        <v>9</v>
      </c>
      <c r="B1139" s="9" t="str">
        <f>IFERROR(__xludf.DUMMYFUNCTION("""COMPUTED_VALUE"""),"吳O毅")</f>
        <v>吳O毅</v>
      </c>
      <c r="C1139" s="9" t="str">
        <f>IFERROR(__xludf.DUMMYFUNCTION("""COMPUTED_VALUE"""),"110*****hkhs.tn.edu.tw")</f>
        <v>110*****hkhs.tn.edu.tw</v>
      </c>
      <c r="D1139" s="9" t="str">
        <f>IFERROR(__xludf.DUMMYFUNCTION("""COMPUTED_VALUE"""),"中信金國際學校財團法人臺南市私立中信國際高級中學")</f>
        <v>中信金國際學校財團法人臺南市私立中信國際高級中學</v>
      </c>
      <c r="E1139" s="9" t="str">
        <f>IFERROR(__xludf.DUMMYFUNCTION("""COMPUTED_VALUE"""),"普通科")</f>
        <v>普通科</v>
      </c>
      <c r="F1139" s="9" t="str">
        <f>IFERROR(__xludf.DUMMYFUNCTION("""COMPUTED_VALUE"""),"一年級")</f>
        <v>一年級</v>
      </c>
      <c r="G1139" s="10" t="str">
        <f>IFERROR(__xludf.DUMMYFUNCTION("""COMPUTED_VALUE"""),"■商品卡$200")</f>
        <v>■商品卡$200</v>
      </c>
      <c r="H1139" s="11"/>
    </row>
    <row r="1140">
      <c r="A1140" s="5" t="s">
        <v>9</v>
      </c>
      <c r="B1140" s="9" t="str">
        <f>IFERROR(__xludf.DUMMYFUNCTION("""COMPUTED_VALUE"""),"吳O森")</f>
        <v>吳O森</v>
      </c>
      <c r="C1140" s="9" t="str">
        <f>IFERROR(__xludf.DUMMYFUNCTION("""COMPUTED_VALUE"""),"eri*****24@gmail.com")</f>
        <v>eri*****24@gmail.com</v>
      </c>
      <c r="D1140" s="9" t="str">
        <f>IFERROR(__xludf.DUMMYFUNCTION("""COMPUTED_VALUE"""),"中信金國際學校財團法人臺南市私立中信國際高級中學")</f>
        <v>中信金國際學校財團法人臺南市私立中信國際高級中學</v>
      </c>
      <c r="E1140" s="9" t="str">
        <f>IFERROR(__xludf.DUMMYFUNCTION("""COMPUTED_VALUE"""),"普通科")</f>
        <v>普通科</v>
      </c>
      <c r="F1140" s="9" t="str">
        <f>IFERROR(__xludf.DUMMYFUNCTION("""COMPUTED_VALUE"""),"一年級")</f>
        <v>一年級</v>
      </c>
      <c r="G1140" s="10" t="str">
        <f>IFERROR(__xludf.DUMMYFUNCTION("""COMPUTED_VALUE"""),"獎狀")</f>
        <v>獎狀</v>
      </c>
      <c r="H1140" s="11"/>
    </row>
    <row r="1141">
      <c r="A1141" s="5" t="s">
        <v>9</v>
      </c>
      <c r="B1141" s="9" t="str">
        <f>IFERROR(__xludf.DUMMYFUNCTION("""COMPUTED_VALUE"""),"陳O萲")</f>
        <v>陳O萲</v>
      </c>
      <c r="C1141" s="9" t="str">
        <f>IFERROR(__xludf.DUMMYFUNCTION("""COMPUTED_VALUE"""),"Lin*****n.1234567a@gmail.com")</f>
        <v>Lin*****n.1234567a@gmail.com</v>
      </c>
      <c r="D1141" s="9" t="str">
        <f>IFERROR(__xludf.DUMMYFUNCTION("""COMPUTED_VALUE"""),"中信金國際學校財團法人臺南市私立中信國際高級中學")</f>
        <v>中信金國際學校財團法人臺南市私立中信國際高級中學</v>
      </c>
      <c r="E1141" s="9" t="str">
        <f>IFERROR(__xludf.DUMMYFUNCTION("""COMPUTED_VALUE"""),"普通科")</f>
        <v>普通科</v>
      </c>
      <c r="F1141" s="9" t="str">
        <f>IFERROR(__xludf.DUMMYFUNCTION("""COMPUTED_VALUE"""),"二年級")</f>
        <v>二年級</v>
      </c>
      <c r="G1141" s="10" t="str">
        <f>IFERROR(__xludf.DUMMYFUNCTION("""COMPUTED_VALUE"""),"獎狀")</f>
        <v>獎狀</v>
      </c>
      <c r="H1141" s="9"/>
    </row>
    <row r="1142">
      <c r="A1142" s="5" t="s">
        <v>9</v>
      </c>
      <c r="B1142" s="9" t="str">
        <f>IFERROR(__xludf.DUMMYFUNCTION("""COMPUTED_VALUE"""),"曾O祐")</f>
        <v>曾O祐</v>
      </c>
      <c r="C1142" s="9" t="str">
        <f>IFERROR(__xludf.DUMMYFUNCTION("""COMPUTED_VALUE"""),"109*****hkhs.tn.edu.tw")</f>
        <v>109*****hkhs.tn.edu.tw</v>
      </c>
      <c r="D1142" s="9" t="str">
        <f>IFERROR(__xludf.DUMMYFUNCTION("""COMPUTED_VALUE"""),"中信金國際學校財團法人臺南市私立中信國際高級中學")</f>
        <v>中信金國際學校財團法人臺南市私立中信國際高級中學</v>
      </c>
      <c r="E1142" s="9" t="str">
        <f>IFERROR(__xludf.DUMMYFUNCTION("""COMPUTED_VALUE"""),"普通科")</f>
        <v>普通科</v>
      </c>
      <c r="F1142" s="9" t="str">
        <f>IFERROR(__xludf.DUMMYFUNCTION("""COMPUTED_VALUE"""),"二年級")</f>
        <v>二年級</v>
      </c>
      <c r="G1142" s="10" t="str">
        <f>IFERROR(__xludf.DUMMYFUNCTION("""COMPUTED_VALUE"""),"獎狀")</f>
        <v>獎狀</v>
      </c>
      <c r="H1142" s="9"/>
    </row>
    <row r="1143">
      <c r="A1143" s="5" t="s">
        <v>9</v>
      </c>
      <c r="B1143" s="9" t="str">
        <f>IFERROR(__xludf.DUMMYFUNCTION("""COMPUTED_VALUE"""),"陳O豪")</f>
        <v>陳O豪</v>
      </c>
      <c r="C1143" s="9" t="str">
        <f>IFERROR(__xludf.DUMMYFUNCTION("""COMPUTED_VALUE"""),"c09*****236@gmail.com")</f>
        <v>c09*****236@gmail.com</v>
      </c>
      <c r="D1143" s="9" t="str">
        <f>IFERROR(__xludf.DUMMYFUNCTION("""COMPUTED_VALUE"""),"中信金國際學校財團法人臺南市私立中信國際高級中學")</f>
        <v>中信金國際學校財團法人臺南市私立中信國際高級中學</v>
      </c>
      <c r="E1143" s="9" t="str">
        <f>IFERROR(__xludf.DUMMYFUNCTION("""COMPUTED_VALUE"""),"普通科")</f>
        <v>普通科</v>
      </c>
      <c r="F1143" s="9" t="str">
        <f>IFERROR(__xludf.DUMMYFUNCTION("""COMPUTED_VALUE"""),"二年級")</f>
        <v>二年級</v>
      </c>
      <c r="G1143" s="10" t="str">
        <f>IFERROR(__xludf.DUMMYFUNCTION("""COMPUTED_VALUE"""),"獎狀")</f>
        <v>獎狀</v>
      </c>
      <c r="H1143" s="9"/>
    </row>
    <row r="1144">
      <c r="A1144" s="5" t="s">
        <v>9</v>
      </c>
      <c r="B1144" s="9" t="str">
        <f>IFERROR(__xludf.DUMMYFUNCTION("""COMPUTED_VALUE"""),"李O辰")</f>
        <v>李O辰</v>
      </c>
      <c r="C1144" s="9" t="str">
        <f>IFERROR(__xludf.DUMMYFUNCTION("""COMPUTED_VALUE"""),"109*****hkhs.tn.edu.tw")</f>
        <v>109*****hkhs.tn.edu.tw</v>
      </c>
      <c r="D1144" s="9" t="str">
        <f>IFERROR(__xludf.DUMMYFUNCTION("""COMPUTED_VALUE"""),"中信金國際學校財團法人臺南市私立中信國際高級中學")</f>
        <v>中信金國際學校財團法人臺南市私立中信國際高級中學</v>
      </c>
      <c r="E1144" s="9" t="str">
        <f>IFERROR(__xludf.DUMMYFUNCTION("""COMPUTED_VALUE"""),"普通科")</f>
        <v>普通科</v>
      </c>
      <c r="F1144" s="9" t="str">
        <f>IFERROR(__xludf.DUMMYFUNCTION("""COMPUTED_VALUE"""),"二年級")</f>
        <v>二年級</v>
      </c>
      <c r="G1144" s="10" t="str">
        <f>IFERROR(__xludf.DUMMYFUNCTION("""COMPUTED_VALUE"""),"■商品卡$200")</f>
        <v>■商品卡$200</v>
      </c>
      <c r="H1144" s="9"/>
    </row>
    <row r="1145">
      <c r="A1145" s="5" t="s">
        <v>9</v>
      </c>
      <c r="B1145" s="9" t="str">
        <f>IFERROR(__xludf.DUMMYFUNCTION("""COMPUTED_VALUE"""),"林O緯")</f>
        <v>林O緯</v>
      </c>
      <c r="C1145" s="9" t="str">
        <f>IFERROR(__xludf.DUMMYFUNCTION("""COMPUTED_VALUE"""),"109*****hkhs.tn.edu.tw")</f>
        <v>109*****hkhs.tn.edu.tw</v>
      </c>
      <c r="D1145" s="9" t="str">
        <f>IFERROR(__xludf.DUMMYFUNCTION("""COMPUTED_VALUE"""),"中信金國際學校財團法人臺南市私立中信國際高級中學")</f>
        <v>中信金國際學校財團法人臺南市私立中信國際高級中學</v>
      </c>
      <c r="E1145" s="9" t="str">
        <f>IFERROR(__xludf.DUMMYFUNCTION("""COMPUTED_VALUE"""),"普通科")</f>
        <v>普通科</v>
      </c>
      <c r="F1145" s="9" t="str">
        <f>IFERROR(__xludf.DUMMYFUNCTION("""COMPUTED_VALUE"""),"二年級")</f>
        <v>二年級</v>
      </c>
      <c r="G1145" s="10" t="str">
        <f>IFERROR(__xludf.DUMMYFUNCTION("""COMPUTED_VALUE"""),"★商品卡$1000")</f>
        <v>★商品卡$1000</v>
      </c>
      <c r="H1145" s="9"/>
    </row>
    <row r="1146">
      <c r="A1146" s="5" t="s">
        <v>9</v>
      </c>
      <c r="B1146" s="9" t="str">
        <f>IFERROR(__xludf.DUMMYFUNCTION("""COMPUTED_VALUE"""),"沈O筑")</f>
        <v>沈O筑</v>
      </c>
      <c r="C1146" s="9" t="str">
        <f>IFERROR(__xludf.DUMMYFUNCTION("""COMPUTED_VALUE"""),"wwp*****212@gmail.com")</f>
        <v>wwp*****212@gmail.com</v>
      </c>
      <c r="D1146" s="9" t="str">
        <f>IFERROR(__xludf.DUMMYFUNCTION("""COMPUTED_VALUE"""),"中信金國際學校財團法人臺南市私立中信國際高級中學")</f>
        <v>中信金國際學校財團法人臺南市私立中信國際高級中學</v>
      </c>
      <c r="E1146" s="9" t="str">
        <f>IFERROR(__xludf.DUMMYFUNCTION("""COMPUTED_VALUE"""),"普通科")</f>
        <v>普通科</v>
      </c>
      <c r="F1146" s="9" t="str">
        <f>IFERROR(__xludf.DUMMYFUNCTION("""COMPUTED_VALUE"""),"二年級")</f>
        <v>二年級</v>
      </c>
      <c r="G1146" s="10" t="str">
        <f>IFERROR(__xludf.DUMMYFUNCTION("""COMPUTED_VALUE"""),"獎狀")</f>
        <v>獎狀</v>
      </c>
      <c r="H1146" s="9"/>
    </row>
    <row r="1147">
      <c r="A1147" s="5" t="s">
        <v>9</v>
      </c>
      <c r="B1147" s="9" t="str">
        <f>IFERROR(__xludf.DUMMYFUNCTION("""COMPUTED_VALUE"""),"林O言")</f>
        <v>林O言</v>
      </c>
      <c r="C1147" s="9" t="str">
        <f>IFERROR(__xludf.DUMMYFUNCTION("""COMPUTED_VALUE"""),"and*****70522@gmail.com")</f>
        <v>and*****70522@gmail.com</v>
      </c>
      <c r="D1147" s="9" t="str">
        <f>IFERROR(__xludf.DUMMYFUNCTION("""COMPUTED_VALUE"""),"中信金國際學校財團法人臺南市私立中信國際高級中學")</f>
        <v>中信金國際學校財團法人臺南市私立中信國際高級中學</v>
      </c>
      <c r="E1147" s="9" t="str">
        <f>IFERROR(__xludf.DUMMYFUNCTION("""COMPUTED_VALUE"""),"普通科")</f>
        <v>普通科</v>
      </c>
      <c r="F1147" s="9" t="str">
        <f>IFERROR(__xludf.DUMMYFUNCTION("""COMPUTED_VALUE"""),"二年級")</f>
        <v>二年級</v>
      </c>
      <c r="G1147" s="10" t="str">
        <f>IFERROR(__xludf.DUMMYFUNCTION("""COMPUTED_VALUE"""),"獎狀")</f>
        <v>獎狀</v>
      </c>
      <c r="H1147" s="9"/>
    </row>
    <row r="1148">
      <c r="A1148" s="5" t="s">
        <v>9</v>
      </c>
      <c r="B1148" s="9" t="str">
        <f>IFERROR(__xludf.DUMMYFUNCTION("""COMPUTED_VALUE"""),"張O阡")</f>
        <v>張O阡</v>
      </c>
      <c r="C1148" s="9" t="str">
        <f>IFERROR(__xludf.DUMMYFUNCTION("""COMPUTED_VALUE"""),"109*****hkhs.tn.edu.tw")</f>
        <v>109*****hkhs.tn.edu.tw</v>
      </c>
      <c r="D1148" s="9" t="str">
        <f>IFERROR(__xludf.DUMMYFUNCTION("""COMPUTED_VALUE"""),"中信金國際學校財團法人臺南市私立中信國際高級中學")</f>
        <v>中信金國際學校財團法人臺南市私立中信國際高級中學</v>
      </c>
      <c r="E1148" s="9" t="str">
        <f>IFERROR(__xludf.DUMMYFUNCTION("""COMPUTED_VALUE"""),"普通科")</f>
        <v>普通科</v>
      </c>
      <c r="F1148" s="9" t="str">
        <f>IFERROR(__xludf.DUMMYFUNCTION("""COMPUTED_VALUE"""),"二年級")</f>
        <v>二年級</v>
      </c>
      <c r="G1148" s="10" t="str">
        <f>IFERROR(__xludf.DUMMYFUNCTION("""COMPUTED_VALUE"""),"獎狀")</f>
        <v>獎狀</v>
      </c>
      <c r="H1148" s="9"/>
    </row>
    <row r="1149">
      <c r="A1149" s="5" t="s">
        <v>9</v>
      </c>
      <c r="B1149" s="9" t="str">
        <f>IFERROR(__xludf.DUMMYFUNCTION("""COMPUTED_VALUE"""),"劉O騏")</f>
        <v>劉O騏</v>
      </c>
      <c r="C1149" s="9" t="str">
        <f>IFERROR(__xludf.DUMMYFUNCTION("""COMPUTED_VALUE"""),"109*****hkhs.tn.edu.tw")</f>
        <v>109*****hkhs.tn.edu.tw</v>
      </c>
      <c r="D1149" s="9" t="str">
        <f>IFERROR(__xludf.DUMMYFUNCTION("""COMPUTED_VALUE"""),"中信金國際學校財團法人臺南市私立中信國際高級中學")</f>
        <v>中信金國際學校財團法人臺南市私立中信國際高級中學</v>
      </c>
      <c r="E1149" s="9" t="str">
        <f>IFERROR(__xludf.DUMMYFUNCTION("""COMPUTED_VALUE"""),"普通科")</f>
        <v>普通科</v>
      </c>
      <c r="F1149" s="9" t="str">
        <f>IFERROR(__xludf.DUMMYFUNCTION("""COMPUTED_VALUE"""),"二年級")</f>
        <v>二年級</v>
      </c>
      <c r="G1149" s="10" t="str">
        <f>IFERROR(__xludf.DUMMYFUNCTION("""COMPUTED_VALUE"""),"■商品卡$200")</f>
        <v>■商品卡$200</v>
      </c>
      <c r="H1149" s="9"/>
    </row>
    <row r="1150">
      <c r="A1150" s="5" t="s">
        <v>9</v>
      </c>
      <c r="B1150" s="9" t="str">
        <f>IFERROR(__xludf.DUMMYFUNCTION("""COMPUTED_VALUE"""),"張O瑋")</f>
        <v>張O瑋</v>
      </c>
      <c r="C1150" s="9" t="str">
        <f>IFERROR(__xludf.DUMMYFUNCTION("""COMPUTED_VALUE"""),"109*****hkhs.tn.edu.tw")</f>
        <v>109*****hkhs.tn.edu.tw</v>
      </c>
      <c r="D1150" s="9" t="str">
        <f>IFERROR(__xludf.DUMMYFUNCTION("""COMPUTED_VALUE"""),"中信金國際學校財團法人臺南市私立中信國際高級中學")</f>
        <v>中信金國際學校財團法人臺南市私立中信國際高級中學</v>
      </c>
      <c r="E1150" s="9" t="str">
        <f>IFERROR(__xludf.DUMMYFUNCTION("""COMPUTED_VALUE"""),"普通科")</f>
        <v>普通科</v>
      </c>
      <c r="F1150" s="9" t="str">
        <f>IFERROR(__xludf.DUMMYFUNCTION("""COMPUTED_VALUE"""),"二年級")</f>
        <v>二年級</v>
      </c>
      <c r="G1150" s="10" t="str">
        <f>IFERROR(__xludf.DUMMYFUNCTION("""COMPUTED_VALUE"""),"獎狀")</f>
        <v>獎狀</v>
      </c>
      <c r="H1150" s="9"/>
    </row>
    <row r="1151">
      <c r="A1151" s="5" t="s">
        <v>9</v>
      </c>
      <c r="B1151" s="9" t="str">
        <f>IFERROR(__xludf.DUMMYFUNCTION("""COMPUTED_VALUE"""),"廖O澄")</f>
        <v>廖O澄</v>
      </c>
      <c r="C1151" s="9" t="str">
        <f>IFERROR(__xludf.DUMMYFUNCTION("""COMPUTED_VALUE"""),"109*****hkhs.tn.edu.tw")</f>
        <v>109*****hkhs.tn.edu.tw</v>
      </c>
      <c r="D1151" s="9" t="str">
        <f>IFERROR(__xludf.DUMMYFUNCTION("""COMPUTED_VALUE"""),"中信金國際學校財團法人臺南市私立中信國際高級中學")</f>
        <v>中信金國際學校財團法人臺南市私立中信國際高級中學</v>
      </c>
      <c r="E1151" s="9" t="str">
        <f>IFERROR(__xludf.DUMMYFUNCTION("""COMPUTED_VALUE"""),"普通科")</f>
        <v>普通科</v>
      </c>
      <c r="F1151" s="9" t="str">
        <f>IFERROR(__xludf.DUMMYFUNCTION("""COMPUTED_VALUE"""),"二年級")</f>
        <v>二年級</v>
      </c>
      <c r="G1151" s="10" t="str">
        <f>IFERROR(__xludf.DUMMYFUNCTION("""COMPUTED_VALUE"""),"獎狀")</f>
        <v>獎狀</v>
      </c>
      <c r="H1151" s="9"/>
    </row>
    <row r="1152">
      <c r="A1152" s="5" t="s">
        <v>9</v>
      </c>
      <c r="B1152" s="9" t="str">
        <f>IFERROR(__xludf.DUMMYFUNCTION("""COMPUTED_VALUE"""),"陳O霖")</f>
        <v>陳O霖</v>
      </c>
      <c r="C1152" s="9" t="str">
        <f>IFERROR(__xludf.DUMMYFUNCTION("""COMPUTED_VALUE"""),"109*****hkhs.tn.edu.tw")</f>
        <v>109*****hkhs.tn.edu.tw</v>
      </c>
      <c r="D1152" s="9" t="str">
        <f>IFERROR(__xludf.DUMMYFUNCTION("""COMPUTED_VALUE"""),"中信金國際學校財團法人臺南市私立中信國際高級中學")</f>
        <v>中信金國際學校財團法人臺南市私立中信國際高級中學</v>
      </c>
      <c r="E1152" s="9" t="str">
        <f>IFERROR(__xludf.DUMMYFUNCTION("""COMPUTED_VALUE"""),"普通科")</f>
        <v>普通科</v>
      </c>
      <c r="F1152" s="9" t="str">
        <f>IFERROR(__xludf.DUMMYFUNCTION("""COMPUTED_VALUE"""),"二年級")</f>
        <v>二年級</v>
      </c>
      <c r="G1152" s="10" t="str">
        <f>IFERROR(__xludf.DUMMYFUNCTION("""COMPUTED_VALUE"""),"獎狀")</f>
        <v>獎狀</v>
      </c>
      <c r="H1152" s="9"/>
    </row>
    <row r="1153">
      <c r="A1153" s="5" t="s">
        <v>9</v>
      </c>
      <c r="B1153" s="9" t="str">
        <f>IFERROR(__xludf.DUMMYFUNCTION("""COMPUTED_VALUE"""),"邱O悅")</f>
        <v>邱O悅</v>
      </c>
      <c r="C1153" s="9" t="str">
        <f>IFERROR(__xludf.DUMMYFUNCTION("""COMPUTED_VALUE"""),"tin*****1118@gmail.com")</f>
        <v>tin*****1118@gmail.com</v>
      </c>
      <c r="D1153" s="9" t="str">
        <f>IFERROR(__xludf.DUMMYFUNCTION("""COMPUTED_VALUE"""),"中信金國際學校財團法人臺南市私立中信國際高級中學")</f>
        <v>中信金國際學校財團法人臺南市私立中信國際高級中學</v>
      </c>
      <c r="E1153" s="9" t="str">
        <f>IFERROR(__xludf.DUMMYFUNCTION("""COMPUTED_VALUE"""),"普通科")</f>
        <v>普通科</v>
      </c>
      <c r="F1153" s="9" t="str">
        <f>IFERROR(__xludf.DUMMYFUNCTION("""COMPUTED_VALUE"""),"二年級")</f>
        <v>二年級</v>
      </c>
      <c r="G1153" s="10" t="str">
        <f>IFERROR(__xludf.DUMMYFUNCTION("""COMPUTED_VALUE"""),"獎狀")</f>
        <v>獎狀</v>
      </c>
      <c r="H1153" s="9"/>
    </row>
    <row r="1154">
      <c r="A1154" s="5" t="s">
        <v>9</v>
      </c>
      <c r="B1154" s="9" t="str">
        <f>IFERROR(__xludf.DUMMYFUNCTION("""COMPUTED_VALUE"""),"林O靜")</f>
        <v>林O靜</v>
      </c>
      <c r="C1154" s="9" t="str">
        <f>IFERROR(__xludf.DUMMYFUNCTION("""COMPUTED_VALUE"""),"112*****hkhs.tn.edu.tw")</f>
        <v>112*****hkhs.tn.edu.tw</v>
      </c>
      <c r="D1154" s="9" t="str">
        <f>IFERROR(__xludf.DUMMYFUNCTION("""COMPUTED_VALUE"""),"中信金國際學校財團法人臺南市私立中信國際高級中學")</f>
        <v>中信金國際學校財團法人臺南市私立中信國際高級中學</v>
      </c>
      <c r="E1154" s="9" t="str">
        <f>IFERROR(__xludf.DUMMYFUNCTION("""COMPUTED_VALUE"""),"普通科")</f>
        <v>普通科</v>
      </c>
      <c r="F1154" s="9" t="str">
        <f>IFERROR(__xludf.DUMMYFUNCTION("""COMPUTED_VALUE"""),"二年級")</f>
        <v>二年級</v>
      </c>
      <c r="G1154" s="10" t="str">
        <f>IFERROR(__xludf.DUMMYFUNCTION("""COMPUTED_VALUE"""),"獎狀")</f>
        <v>獎狀</v>
      </c>
      <c r="H1154" s="9"/>
    </row>
    <row r="1155">
      <c r="A1155" s="5" t="s">
        <v>9</v>
      </c>
      <c r="B1155" s="9" t="str">
        <f>IFERROR(__xludf.DUMMYFUNCTION("""COMPUTED_VALUE"""),"沈O晨")</f>
        <v>沈O晨</v>
      </c>
      <c r="C1155" s="9" t="str">
        <f>IFERROR(__xludf.DUMMYFUNCTION("""COMPUTED_VALUE"""),"109*****hkhs.tn.edu.tw")</f>
        <v>109*****hkhs.tn.edu.tw</v>
      </c>
      <c r="D1155" s="9" t="str">
        <f>IFERROR(__xludf.DUMMYFUNCTION("""COMPUTED_VALUE"""),"中信金國際學校財團法人臺南市私立中信國際高級中學")</f>
        <v>中信金國際學校財團法人臺南市私立中信國際高級中學</v>
      </c>
      <c r="E1155" s="9" t="str">
        <f>IFERROR(__xludf.DUMMYFUNCTION("""COMPUTED_VALUE"""),"普通科")</f>
        <v>普通科</v>
      </c>
      <c r="F1155" s="9" t="str">
        <f>IFERROR(__xludf.DUMMYFUNCTION("""COMPUTED_VALUE"""),"二年級")</f>
        <v>二年級</v>
      </c>
      <c r="G1155" s="10" t="str">
        <f>IFERROR(__xludf.DUMMYFUNCTION("""COMPUTED_VALUE"""),"獎狀")</f>
        <v>獎狀</v>
      </c>
      <c r="H1155" s="9"/>
    </row>
    <row r="1156">
      <c r="A1156" s="5" t="s">
        <v>9</v>
      </c>
      <c r="B1156" s="9" t="str">
        <f>IFERROR(__xludf.DUMMYFUNCTION("""COMPUTED_VALUE"""),"林O君")</f>
        <v>林O君</v>
      </c>
      <c r="C1156" s="9" t="str">
        <f>IFERROR(__xludf.DUMMYFUNCTION("""COMPUTED_VALUE"""),"jea*****57@gmail.com")</f>
        <v>jea*****57@gmail.com</v>
      </c>
      <c r="D1156" s="9" t="str">
        <f>IFERROR(__xludf.DUMMYFUNCTION("""COMPUTED_VALUE"""),"中信金國際學校財團法人臺南市私立中信國際高級中學")</f>
        <v>中信金國際學校財團法人臺南市私立中信國際高級中學</v>
      </c>
      <c r="E1156" s="9" t="str">
        <f>IFERROR(__xludf.DUMMYFUNCTION("""COMPUTED_VALUE"""),"普通科")</f>
        <v>普通科</v>
      </c>
      <c r="F1156" s="9" t="str">
        <f>IFERROR(__xludf.DUMMYFUNCTION("""COMPUTED_VALUE"""),"二年級")</f>
        <v>二年級</v>
      </c>
      <c r="G1156" s="10" t="str">
        <f>IFERROR(__xludf.DUMMYFUNCTION("""COMPUTED_VALUE"""),"獎狀")</f>
        <v>獎狀</v>
      </c>
      <c r="H1156" s="9"/>
    </row>
    <row r="1157">
      <c r="A1157" s="5" t="s">
        <v>9</v>
      </c>
      <c r="B1157" s="9" t="str">
        <f>IFERROR(__xludf.DUMMYFUNCTION("""COMPUTED_VALUE"""),"沈O欣")</f>
        <v>沈O欣</v>
      </c>
      <c r="C1157" s="9" t="str">
        <f>IFERROR(__xludf.DUMMYFUNCTION("""COMPUTED_VALUE"""),"112*****hkhs.tn.edu.tw")</f>
        <v>112*****hkhs.tn.edu.tw</v>
      </c>
      <c r="D1157" s="9" t="str">
        <f>IFERROR(__xludf.DUMMYFUNCTION("""COMPUTED_VALUE"""),"中信金國際學校財團法人臺南市私立中信國際高級中學")</f>
        <v>中信金國際學校財團法人臺南市私立中信國際高級中學</v>
      </c>
      <c r="E1157" s="9" t="str">
        <f>IFERROR(__xludf.DUMMYFUNCTION("""COMPUTED_VALUE"""),"普通科")</f>
        <v>普通科</v>
      </c>
      <c r="F1157" s="9" t="str">
        <f>IFERROR(__xludf.DUMMYFUNCTION("""COMPUTED_VALUE"""),"二年級")</f>
        <v>二年級</v>
      </c>
      <c r="G1157" s="10" t="str">
        <f>IFERROR(__xludf.DUMMYFUNCTION("""COMPUTED_VALUE"""),"獎狀")</f>
        <v>獎狀</v>
      </c>
      <c r="H1157" s="9"/>
    </row>
    <row r="1158">
      <c r="A1158" s="5" t="s">
        <v>9</v>
      </c>
      <c r="B1158" s="9" t="str">
        <f>IFERROR(__xludf.DUMMYFUNCTION("""COMPUTED_VALUE"""),"張O瑄")</f>
        <v>張O瑄</v>
      </c>
      <c r="C1158" s="9" t="str">
        <f>IFERROR(__xludf.DUMMYFUNCTION("""COMPUTED_VALUE"""),"109*****hkhs.tn.edu.tw")</f>
        <v>109*****hkhs.tn.edu.tw</v>
      </c>
      <c r="D1158" s="9" t="str">
        <f>IFERROR(__xludf.DUMMYFUNCTION("""COMPUTED_VALUE"""),"中信金國際學校財團法人臺南市私立中信國際高級中學")</f>
        <v>中信金國際學校財團法人臺南市私立中信國際高級中學</v>
      </c>
      <c r="E1158" s="9" t="str">
        <f>IFERROR(__xludf.DUMMYFUNCTION("""COMPUTED_VALUE"""),"普通科")</f>
        <v>普通科</v>
      </c>
      <c r="F1158" s="9" t="str">
        <f>IFERROR(__xludf.DUMMYFUNCTION("""COMPUTED_VALUE"""),"二年級")</f>
        <v>二年級</v>
      </c>
      <c r="G1158" s="10" t="str">
        <f>IFERROR(__xludf.DUMMYFUNCTION("""COMPUTED_VALUE"""),"獎狀")</f>
        <v>獎狀</v>
      </c>
      <c r="H1158" s="9"/>
    </row>
    <row r="1159">
      <c r="A1159" s="5" t="s">
        <v>9</v>
      </c>
      <c r="B1159" s="9" t="str">
        <f>IFERROR(__xludf.DUMMYFUNCTION("""COMPUTED_VALUE"""),"謝O宥")</f>
        <v>謝O宥</v>
      </c>
      <c r="C1159" s="9" t="str">
        <f>IFERROR(__xludf.DUMMYFUNCTION("""COMPUTED_VALUE"""),"yu0*****2969@gmail.com")</f>
        <v>yu0*****2969@gmail.com</v>
      </c>
      <c r="D1159" s="9" t="str">
        <f>IFERROR(__xludf.DUMMYFUNCTION("""COMPUTED_VALUE"""),"中信金國際學校財團法人臺南市私立中信國際高級中學")</f>
        <v>中信金國際學校財團法人臺南市私立中信國際高級中學</v>
      </c>
      <c r="E1159" s="9" t="str">
        <f>IFERROR(__xludf.DUMMYFUNCTION("""COMPUTED_VALUE"""),"普通科")</f>
        <v>普通科</v>
      </c>
      <c r="F1159" s="9" t="str">
        <f>IFERROR(__xludf.DUMMYFUNCTION("""COMPUTED_VALUE"""),"二年級")</f>
        <v>二年級</v>
      </c>
      <c r="G1159" s="10" t="str">
        <f>IFERROR(__xludf.DUMMYFUNCTION("""COMPUTED_VALUE"""),"○商品卡$500")</f>
        <v>○商品卡$500</v>
      </c>
      <c r="H1159" s="9"/>
    </row>
    <row r="1160">
      <c r="A1160" s="5" t="s">
        <v>9</v>
      </c>
      <c r="B1160" s="9" t="str">
        <f>IFERROR(__xludf.DUMMYFUNCTION("""COMPUTED_VALUE"""),"翁O圜")</f>
        <v>翁O圜</v>
      </c>
      <c r="C1160" s="9" t="str">
        <f>IFERROR(__xludf.DUMMYFUNCTION("""COMPUTED_VALUE"""),"112*****hkhs.tn.edu.tw")</f>
        <v>112*****hkhs.tn.edu.tw</v>
      </c>
      <c r="D1160" s="9" t="str">
        <f>IFERROR(__xludf.DUMMYFUNCTION("""COMPUTED_VALUE"""),"中信金國際學校財團法人臺南市私立中信國際高級中學")</f>
        <v>中信金國際學校財團法人臺南市私立中信國際高級中學</v>
      </c>
      <c r="E1160" s="9" t="str">
        <f>IFERROR(__xludf.DUMMYFUNCTION("""COMPUTED_VALUE"""),"普通科")</f>
        <v>普通科</v>
      </c>
      <c r="F1160" s="9" t="str">
        <f>IFERROR(__xludf.DUMMYFUNCTION("""COMPUTED_VALUE"""),"二年級")</f>
        <v>二年級</v>
      </c>
      <c r="G1160" s="10" t="str">
        <f>IFERROR(__xludf.DUMMYFUNCTION("""COMPUTED_VALUE"""),"獎狀")</f>
        <v>獎狀</v>
      </c>
      <c r="H1160" s="9"/>
    </row>
    <row r="1161">
      <c r="A1161" s="5" t="s">
        <v>9</v>
      </c>
      <c r="B1161" s="9" t="str">
        <f>IFERROR(__xludf.DUMMYFUNCTION("""COMPUTED_VALUE"""),"陳O恩")</f>
        <v>陳O恩</v>
      </c>
      <c r="C1161" s="9" t="str">
        <f>IFERROR(__xludf.DUMMYFUNCTION("""COMPUTED_VALUE"""),"112*****hkhs.tn.edu.tw")</f>
        <v>112*****hkhs.tn.edu.tw</v>
      </c>
      <c r="D1161" s="9" t="str">
        <f>IFERROR(__xludf.DUMMYFUNCTION("""COMPUTED_VALUE"""),"中信金國際學校財團法人臺南市私立中信國際高級中學")</f>
        <v>中信金國際學校財團法人臺南市私立中信國際高級中學</v>
      </c>
      <c r="E1161" s="9" t="str">
        <f>IFERROR(__xludf.DUMMYFUNCTION("""COMPUTED_VALUE"""),"普通科")</f>
        <v>普通科</v>
      </c>
      <c r="F1161" s="9" t="str">
        <f>IFERROR(__xludf.DUMMYFUNCTION("""COMPUTED_VALUE"""),"二年級")</f>
        <v>二年級</v>
      </c>
      <c r="G1161" s="10" t="str">
        <f>IFERROR(__xludf.DUMMYFUNCTION("""COMPUTED_VALUE"""),"獎狀")</f>
        <v>獎狀</v>
      </c>
      <c r="H1161" s="9"/>
    </row>
    <row r="1162">
      <c r="A1162" s="5" t="s">
        <v>9</v>
      </c>
      <c r="B1162" s="9" t="str">
        <f>IFERROR(__xludf.DUMMYFUNCTION("""COMPUTED_VALUE"""),"李O璇")</f>
        <v>李O璇</v>
      </c>
      <c r="C1162" s="9" t="str">
        <f>IFERROR(__xludf.DUMMYFUNCTION("""COMPUTED_VALUE"""),"112*****hkhs.tn.edu.tw")</f>
        <v>112*****hkhs.tn.edu.tw</v>
      </c>
      <c r="D1162" s="9" t="str">
        <f>IFERROR(__xludf.DUMMYFUNCTION("""COMPUTED_VALUE"""),"中信金國際學校財團法人臺南市私立中信國際高級中學")</f>
        <v>中信金國際學校財團法人臺南市私立中信國際高級中學</v>
      </c>
      <c r="E1162" s="9" t="str">
        <f>IFERROR(__xludf.DUMMYFUNCTION("""COMPUTED_VALUE"""),"普通科")</f>
        <v>普通科</v>
      </c>
      <c r="F1162" s="9" t="str">
        <f>IFERROR(__xludf.DUMMYFUNCTION("""COMPUTED_VALUE"""),"二年級")</f>
        <v>二年級</v>
      </c>
      <c r="G1162" s="10" t="str">
        <f>IFERROR(__xludf.DUMMYFUNCTION("""COMPUTED_VALUE"""),"獎狀")</f>
        <v>獎狀</v>
      </c>
      <c r="H1162" s="9"/>
    </row>
    <row r="1163">
      <c r="A1163" s="5" t="s">
        <v>9</v>
      </c>
      <c r="B1163" s="9" t="str">
        <f>IFERROR(__xludf.DUMMYFUNCTION("""COMPUTED_VALUE"""),"黃O筑")</f>
        <v>黃O筑</v>
      </c>
      <c r="C1163" s="9" t="str">
        <f>IFERROR(__xludf.DUMMYFUNCTION("""COMPUTED_VALUE"""),"112*****hkhs.tn.edu.tw")</f>
        <v>112*****hkhs.tn.edu.tw</v>
      </c>
      <c r="D1163" s="9" t="str">
        <f>IFERROR(__xludf.DUMMYFUNCTION("""COMPUTED_VALUE"""),"中信金國際學校財團法人臺南市私立中信國際高級中學")</f>
        <v>中信金國際學校財團法人臺南市私立中信國際高級中學</v>
      </c>
      <c r="E1163" s="9" t="str">
        <f>IFERROR(__xludf.DUMMYFUNCTION("""COMPUTED_VALUE"""),"普通科")</f>
        <v>普通科</v>
      </c>
      <c r="F1163" s="9" t="str">
        <f>IFERROR(__xludf.DUMMYFUNCTION("""COMPUTED_VALUE"""),"二年級")</f>
        <v>二年級</v>
      </c>
      <c r="G1163" s="10" t="str">
        <f>IFERROR(__xludf.DUMMYFUNCTION("""COMPUTED_VALUE"""),"■商品卡$200")</f>
        <v>■商品卡$200</v>
      </c>
      <c r="H1163" s="9"/>
    </row>
    <row r="1164">
      <c r="A1164" s="5" t="s">
        <v>9</v>
      </c>
      <c r="B1164" s="9" t="str">
        <f>IFERROR(__xludf.DUMMYFUNCTION("""COMPUTED_VALUE"""),"王O蔓")</f>
        <v>王O蔓</v>
      </c>
      <c r="C1164" s="9" t="str">
        <f>IFERROR(__xludf.DUMMYFUNCTION("""COMPUTED_VALUE"""),"112*****hkhs.tn.edu.tw")</f>
        <v>112*****hkhs.tn.edu.tw</v>
      </c>
      <c r="D1164" s="9" t="str">
        <f>IFERROR(__xludf.DUMMYFUNCTION("""COMPUTED_VALUE"""),"中信金國際學校財團法人臺南市私立中信國際高級中學")</f>
        <v>中信金國際學校財團法人臺南市私立中信國際高級中學</v>
      </c>
      <c r="E1164" s="9" t="str">
        <f>IFERROR(__xludf.DUMMYFUNCTION("""COMPUTED_VALUE"""),"普通科")</f>
        <v>普通科</v>
      </c>
      <c r="F1164" s="9" t="str">
        <f>IFERROR(__xludf.DUMMYFUNCTION("""COMPUTED_VALUE"""),"二年級")</f>
        <v>二年級</v>
      </c>
      <c r="G1164" s="10" t="str">
        <f>IFERROR(__xludf.DUMMYFUNCTION("""COMPUTED_VALUE"""),"獎狀")</f>
        <v>獎狀</v>
      </c>
      <c r="H1164" s="9"/>
    </row>
    <row r="1165">
      <c r="A1165" s="5" t="s">
        <v>9</v>
      </c>
      <c r="B1165" s="9" t="str">
        <f>IFERROR(__xludf.DUMMYFUNCTION("""COMPUTED_VALUE"""),"黃O文")</f>
        <v>黃O文</v>
      </c>
      <c r="C1165" s="9" t="str">
        <f>IFERROR(__xludf.DUMMYFUNCTION("""COMPUTED_VALUE"""),"bai*****ang90@gmail.com")</f>
        <v>bai*****ang90@gmail.com</v>
      </c>
      <c r="D1165" s="9" t="str">
        <f>IFERROR(__xludf.DUMMYFUNCTION("""COMPUTED_VALUE"""),"中信金國際學校財團法人臺南市私立中信國際高級中學")</f>
        <v>中信金國際學校財團法人臺南市私立中信國際高級中學</v>
      </c>
      <c r="E1165" s="9" t="str">
        <f>IFERROR(__xludf.DUMMYFUNCTION("""COMPUTED_VALUE"""),"普通科")</f>
        <v>普通科</v>
      </c>
      <c r="F1165" s="9" t="str">
        <f>IFERROR(__xludf.DUMMYFUNCTION("""COMPUTED_VALUE"""),"二年級")</f>
        <v>二年級</v>
      </c>
      <c r="G1165" s="10" t="str">
        <f>IFERROR(__xludf.DUMMYFUNCTION("""COMPUTED_VALUE"""),"獎狀")</f>
        <v>獎狀</v>
      </c>
      <c r="H1165" s="9"/>
    </row>
    <row r="1166">
      <c r="A1166" s="5" t="s">
        <v>9</v>
      </c>
      <c r="B1166" s="9" t="str">
        <f>IFERROR(__xludf.DUMMYFUNCTION("""COMPUTED_VALUE"""),"顏O宸")</f>
        <v>顏O宸</v>
      </c>
      <c r="C1166" s="9" t="str">
        <f>IFERROR(__xludf.DUMMYFUNCTION("""COMPUTED_VALUE"""),"stu*****9@nkhs.tn.edu.tw")</f>
        <v>stu*****9@nkhs.tn.edu.tw</v>
      </c>
      <c r="D1166" s="9" t="str">
        <f>IFERROR(__xludf.DUMMYFUNCTION("""COMPUTED_VALUE"""),"臺南市私立南光高級中學")</f>
        <v>臺南市私立南光高級中學</v>
      </c>
      <c r="E1166" s="9" t="str">
        <f>IFERROR(__xludf.DUMMYFUNCTION("""COMPUTED_VALUE"""),"普通科")</f>
        <v>普通科</v>
      </c>
      <c r="F1166" s="9" t="str">
        <f>IFERROR(__xludf.DUMMYFUNCTION("""COMPUTED_VALUE"""),"二年級")</f>
        <v>二年級</v>
      </c>
      <c r="G1166" s="10" t="str">
        <f>IFERROR(__xludf.DUMMYFUNCTION("""COMPUTED_VALUE"""),"獎狀")</f>
        <v>獎狀</v>
      </c>
      <c r="H1166" s="9"/>
    </row>
    <row r="1167">
      <c r="A1167" s="5" t="s">
        <v>9</v>
      </c>
      <c r="B1167" s="9" t="str">
        <f>IFERROR(__xludf.DUMMYFUNCTION("""COMPUTED_VALUE"""),"邱O銘")</f>
        <v>邱O銘</v>
      </c>
      <c r="C1167" s="9" t="str">
        <f>IFERROR(__xludf.DUMMYFUNCTION("""COMPUTED_VALUE"""),"stu*****0@nkhs.tn.edu.tw")</f>
        <v>stu*****0@nkhs.tn.edu.tw</v>
      </c>
      <c r="D1167" s="9" t="str">
        <f>IFERROR(__xludf.DUMMYFUNCTION("""COMPUTED_VALUE"""),"臺南市私立南光高級中學")</f>
        <v>臺南市私立南光高級中學</v>
      </c>
      <c r="E1167" s="9" t="str">
        <f>IFERROR(__xludf.DUMMYFUNCTION("""COMPUTED_VALUE"""),"普通科")</f>
        <v>普通科</v>
      </c>
      <c r="F1167" s="9" t="str">
        <f>IFERROR(__xludf.DUMMYFUNCTION("""COMPUTED_VALUE"""),"二年級")</f>
        <v>二年級</v>
      </c>
      <c r="G1167" s="10" t="str">
        <f>IFERROR(__xludf.DUMMYFUNCTION("""COMPUTED_VALUE"""),"獎狀")</f>
        <v>獎狀</v>
      </c>
      <c r="H1167" s="9"/>
    </row>
    <row r="1168">
      <c r="A1168" s="5" t="s">
        <v>9</v>
      </c>
      <c r="B1168" s="9" t="str">
        <f>IFERROR(__xludf.DUMMYFUNCTION("""COMPUTED_VALUE"""),"何O珊")</f>
        <v>何O珊</v>
      </c>
      <c r="C1168" s="9" t="str">
        <f>IFERROR(__xludf.DUMMYFUNCTION("""COMPUTED_VALUE"""),"stu*****3@nkhs.tn.edu.tw")</f>
        <v>stu*****3@nkhs.tn.edu.tw</v>
      </c>
      <c r="D1168" s="9" t="str">
        <f>IFERROR(__xludf.DUMMYFUNCTION("""COMPUTED_VALUE"""),"臺南市私立南光高級中學")</f>
        <v>臺南市私立南光高級中學</v>
      </c>
      <c r="E1168" s="9" t="str">
        <f>IFERROR(__xludf.DUMMYFUNCTION("""COMPUTED_VALUE"""),"普通科")</f>
        <v>普通科</v>
      </c>
      <c r="F1168" s="9" t="str">
        <f>IFERROR(__xludf.DUMMYFUNCTION("""COMPUTED_VALUE"""),"二年級")</f>
        <v>二年級</v>
      </c>
      <c r="G1168" s="10" t="str">
        <f>IFERROR(__xludf.DUMMYFUNCTION("""COMPUTED_VALUE"""),"獎狀")</f>
        <v>獎狀</v>
      </c>
      <c r="H1168" s="9"/>
    </row>
    <row r="1169">
      <c r="A1169" s="5" t="s">
        <v>9</v>
      </c>
      <c r="B1169" s="9" t="str">
        <f>IFERROR(__xludf.DUMMYFUNCTION("""COMPUTED_VALUE"""),"翁O勛")</f>
        <v>翁O勛</v>
      </c>
      <c r="C1169" s="9" t="str">
        <f>IFERROR(__xludf.DUMMYFUNCTION("""COMPUTED_VALUE"""),"stu*****5@nkhs.tn.edu.tw")</f>
        <v>stu*****5@nkhs.tn.edu.tw</v>
      </c>
      <c r="D1169" s="9" t="str">
        <f>IFERROR(__xludf.DUMMYFUNCTION("""COMPUTED_VALUE"""),"臺南市私立南光高級中學")</f>
        <v>臺南市私立南光高級中學</v>
      </c>
      <c r="E1169" s="9" t="str">
        <f>IFERROR(__xludf.DUMMYFUNCTION("""COMPUTED_VALUE"""),"普通科")</f>
        <v>普通科</v>
      </c>
      <c r="F1169" s="9" t="str">
        <f>IFERROR(__xludf.DUMMYFUNCTION("""COMPUTED_VALUE"""),"二年級")</f>
        <v>二年級</v>
      </c>
      <c r="G1169" s="10" t="str">
        <f>IFERROR(__xludf.DUMMYFUNCTION("""COMPUTED_VALUE"""),"獎狀")</f>
        <v>獎狀</v>
      </c>
      <c r="H1169" s="9"/>
    </row>
    <row r="1170">
      <c r="A1170" s="5" t="s">
        <v>9</v>
      </c>
      <c r="B1170" s="9" t="str">
        <f>IFERROR(__xludf.DUMMYFUNCTION("""COMPUTED_VALUE"""),"張O傑")</f>
        <v>張O傑</v>
      </c>
      <c r="C1170" s="9" t="str">
        <f>IFERROR(__xludf.DUMMYFUNCTION("""COMPUTED_VALUE"""),"stu*****1@nkhs.tn.edu.tw")</f>
        <v>stu*****1@nkhs.tn.edu.tw</v>
      </c>
      <c r="D1170" s="9" t="str">
        <f>IFERROR(__xludf.DUMMYFUNCTION("""COMPUTED_VALUE"""),"臺南市私立南光高級中學")</f>
        <v>臺南市私立南光高級中學</v>
      </c>
      <c r="E1170" s="9" t="str">
        <f>IFERROR(__xludf.DUMMYFUNCTION("""COMPUTED_VALUE"""),"普通科")</f>
        <v>普通科</v>
      </c>
      <c r="F1170" s="9" t="str">
        <f>IFERROR(__xludf.DUMMYFUNCTION("""COMPUTED_VALUE"""),"二年級")</f>
        <v>二年級</v>
      </c>
      <c r="G1170" s="10" t="str">
        <f>IFERROR(__xludf.DUMMYFUNCTION("""COMPUTED_VALUE"""),"獎狀")</f>
        <v>獎狀</v>
      </c>
      <c r="H1170" s="9"/>
    </row>
    <row r="1171">
      <c r="A1171" s="5" t="s">
        <v>9</v>
      </c>
      <c r="B1171" s="9" t="str">
        <f>IFERROR(__xludf.DUMMYFUNCTION("""COMPUTED_VALUE"""),"張O松")</f>
        <v>張O松</v>
      </c>
      <c r="C1171" s="9" t="str">
        <f>IFERROR(__xludf.DUMMYFUNCTION("""COMPUTED_VALUE"""),"stu*****7@nkhs.tn.edu.tw")</f>
        <v>stu*****7@nkhs.tn.edu.tw</v>
      </c>
      <c r="D1171" s="9" t="str">
        <f>IFERROR(__xludf.DUMMYFUNCTION("""COMPUTED_VALUE"""),"臺南市私立南光高級中學")</f>
        <v>臺南市私立南光高級中學</v>
      </c>
      <c r="E1171" s="9" t="str">
        <f>IFERROR(__xludf.DUMMYFUNCTION("""COMPUTED_VALUE"""),"普通科")</f>
        <v>普通科</v>
      </c>
      <c r="F1171" s="9" t="str">
        <f>IFERROR(__xludf.DUMMYFUNCTION("""COMPUTED_VALUE"""),"二年級")</f>
        <v>二年級</v>
      </c>
      <c r="G1171" s="10" t="str">
        <f>IFERROR(__xludf.DUMMYFUNCTION("""COMPUTED_VALUE"""),"■商品卡$200")</f>
        <v>■商品卡$200</v>
      </c>
      <c r="H1171" s="9"/>
    </row>
    <row r="1172">
      <c r="A1172" s="5" t="s">
        <v>9</v>
      </c>
      <c r="B1172" s="9" t="str">
        <f>IFERROR(__xludf.DUMMYFUNCTION("""COMPUTED_VALUE"""),"沈O諺")</f>
        <v>沈O諺</v>
      </c>
      <c r="C1172" s="9" t="str">
        <f>IFERROR(__xludf.DUMMYFUNCTION("""COMPUTED_VALUE"""),"stu*****6@nkhs.tn.edu.tw")</f>
        <v>stu*****6@nkhs.tn.edu.tw</v>
      </c>
      <c r="D1172" s="9" t="str">
        <f>IFERROR(__xludf.DUMMYFUNCTION("""COMPUTED_VALUE"""),"臺南市私立南光高級中學")</f>
        <v>臺南市私立南光高級中學</v>
      </c>
      <c r="E1172" s="9" t="str">
        <f>IFERROR(__xludf.DUMMYFUNCTION("""COMPUTED_VALUE"""),"普通科")</f>
        <v>普通科</v>
      </c>
      <c r="F1172" s="9" t="str">
        <f>IFERROR(__xludf.DUMMYFUNCTION("""COMPUTED_VALUE"""),"二年級")</f>
        <v>二年級</v>
      </c>
      <c r="G1172" s="10" t="str">
        <f>IFERROR(__xludf.DUMMYFUNCTION("""COMPUTED_VALUE"""),"獎狀")</f>
        <v>獎狀</v>
      </c>
      <c r="H1172" s="9"/>
    </row>
    <row r="1173">
      <c r="A1173" s="5" t="s">
        <v>9</v>
      </c>
      <c r="B1173" s="9" t="str">
        <f>IFERROR(__xludf.DUMMYFUNCTION("""COMPUTED_VALUE"""),"蔡O君")</f>
        <v>蔡O君</v>
      </c>
      <c r="C1173" s="9" t="str">
        <f>IFERROR(__xludf.DUMMYFUNCTION("""COMPUTED_VALUE"""),"stu*****6@nkhs.tn.edu.tw")</f>
        <v>stu*****6@nkhs.tn.edu.tw</v>
      </c>
      <c r="D1173" s="9" t="str">
        <f>IFERROR(__xludf.DUMMYFUNCTION("""COMPUTED_VALUE"""),"臺南市私立南光高級中學")</f>
        <v>臺南市私立南光高級中學</v>
      </c>
      <c r="E1173" s="9" t="str">
        <f>IFERROR(__xludf.DUMMYFUNCTION("""COMPUTED_VALUE"""),"普通科")</f>
        <v>普通科</v>
      </c>
      <c r="F1173" s="9" t="str">
        <f>IFERROR(__xludf.DUMMYFUNCTION("""COMPUTED_VALUE"""),"二年級")</f>
        <v>二年級</v>
      </c>
      <c r="G1173" s="10" t="str">
        <f>IFERROR(__xludf.DUMMYFUNCTION("""COMPUTED_VALUE"""),"獎狀")</f>
        <v>獎狀</v>
      </c>
      <c r="H1173" s="9"/>
    </row>
    <row r="1174">
      <c r="A1174" s="5" t="s">
        <v>9</v>
      </c>
      <c r="B1174" s="9" t="str">
        <f>IFERROR(__xludf.DUMMYFUNCTION("""COMPUTED_VALUE"""),"林O庭")</f>
        <v>林O庭</v>
      </c>
      <c r="C1174" s="9" t="str">
        <f>IFERROR(__xludf.DUMMYFUNCTION("""COMPUTED_VALUE"""),"stu*****9@nkhs.tn.edu.tw")</f>
        <v>stu*****9@nkhs.tn.edu.tw</v>
      </c>
      <c r="D1174" s="9" t="str">
        <f>IFERROR(__xludf.DUMMYFUNCTION("""COMPUTED_VALUE"""),"臺南市私立南光高級中學")</f>
        <v>臺南市私立南光高級中學</v>
      </c>
      <c r="E1174" s="9" t="str">
        <f>IFERROR(__xludf.DUMMYFUNCTION("""COMPUTED_VALUE"""),"普通科")</f>
        <v>普通科</v>
      </c>
      <c r="F1174" s="9" t="str">
        <f>IFERROR(__xludf.DUMMYFUNCTION("""COMPUTED_VALUE"""),"二年級")</f>
        <v>二年級</v>
      </c>
      <c r="G1174" s="10" t="str">
        <f>IFERROR(__xludf.DUMMYFUNCTION("""COMPUTED_VALUE"""),"獎狀")</f>
        <v>獎狀</v>
      </c>
      <c r="H1174" s="9"/>
    </row>
    <row r="1175">
      <c r="A1175" s="5" t="s">
        <v>9</v>
      </c>
      <c r="B1175" s="9" t="str">
        <f>IFERROR(__xludf.DUMMYFUNCTION("""COMPUTED_VALUE"""),"劉O宏")</f>
        <v>劉O宏</v>
      </c>
      <c r="C1175" s="9" t="str">
        <f>IFERROR(__xludf.DUMMYFUNCTION("""COMPUTED_VALUE"""),"stu*****5@nkhs.tn.edu.tw")</f>
        <v>stu*****5@nkhs.tn.edu.tw</v>
      </c>
      <c r="D1175" s="9" t="str">
        <f>IFERROR(__xludf.DUMMYFUNCTION("""COMPUTED_VALUE"""),"臺南市私立南光高級中學")</f>
        <v>臺南市私立南光高級中學</v>
      </c>
      <c r="E1175" s="9" t="str">
        <f>IFERROR(__xludf.DUMMYFUNCTION("""COMPUTED_VALUE"""),"普通科")</f>
        <v>普通科</v>
      </c>
      <c r="F1175" s="9" t="str">
        <f>IFERROR(__xludf.DUMMYFUNCTION("""COMPUTED_VALUE"""),"三年級")</f>
        <v>三年級</v>
      </c>
      <c r="G1175" s="10" t="str">
        <f>IFERROR(__xludf.DUMMYFUNCTION("""COMPUTED_VALUE"""),"■商品卡$200")</f>
        <v>■商品卡$200</v>
      </c>
      <c r="H1175" s="9"/>
    </row>
    <row r="1176">
      <c r="A1176" s="5" t="s">
        <v>9</v>
      </c>
      <c r="B1176" s="9" t="str">
        <f>IFERROR(__xludf.DUMMYFUNCTION("""COMPUTED_VALUE"""),"林O汝")</f>
        <v>林O汝</v>
      </c>
      <c r="C1176" s="9" t="str">
        <f>IFERROR(__xludf.DUMMYFUNCTION("""COMPUTED_VALUE"""),"stu*****2@nkhs.tn.edu.tw")</f>
        <v>stu*****2@nkhs.tn.edu.tw</v>
      </c>
      <c r="D1176" s="9" t="str">
        <f>IFERROR(__xludf.DUMMYFUNCTION("""COMPUTED_VALUE"""),"臺南市私立南光高級中學")</f>
        <v>臺南市私立南光高級中學</v>
      </c>
      <c r="E1176" s="9" t="str">
        <f>IFERROR(__xludf.DUMMYFUNCTION("""COMPUTED_VALUE"""),"普通科")</f>
        <v>普通科</v>
      </c>
      <c r="F1176" s="9" t="str">
        <f>IFERROR(__xludf.DUMMYFUNCTION("""COMPUTED_VALUE"""),"三年級")</f>
        <v>三年級</v>
      </c>
      <c r="G1176" s="10" t="str">
        <f>IFERROR(__xludf.DUMMYFUNCTION("""COMPUTED_VALUE"""),"獎狀")</f>
        <v>獎狀</v>
      </c>
      <c r="H1176" s="9"/>
    </row>
    <row r="1177">
      <c r="A1177" s="5" t="s">
        <v>9</v>
      </c>
      <c r="B1177" s="9" t="str">
        <f>IFERROR(__xludf.DUMMYFUNCTION("""COMPUTED_VALUE"""),"邱O君")</f>
        <v>邱O君</v>
      </c>
      <c r="C1177" s="9" t="str">
        <f>IFERROR(__xludf.DUMMYFUNCTION("""COMPUTED_VALUE"""),"stu*****6@nkhs.tn.edu.tw")</f>
        <v>stu*****6@nkhs.tn.edu.tw</v>
      </c>
      <c r="D1177" s="9" t="str">
        <f>IFERROR(__xludf.DUMMYFUNCTION("""COMPUTED_VALUE"""),"臺南市私立南光高級中學")</f>
        <v>臺南市私立南光高級中學</v>
      </c>
      <c r="E1177" s="9" t="str">
        <f>IFERROR(__xludf.DUMMYFUNCTION("""COMPUTED_VALUE"""),"普通科")</f>
        <v>普通科</v>
      </c>
      <c r="F1177" s="9" t="str">
        <f>IFERROR(__xludf.DUMMYFUNCTION("""COMPUTED_VALUE"""),"三年級")</f>
        <v>三年級</v>
      </c>
      <c r="G1177" s="10" t="str">
        <f>IFERROR(__xludf.DUMMYFUNCTION("""COMPUTED_VALUE"""),"獎狀")</f>
        <v>獎狀</v>
      </c>
      <c r="H1177" s="9"/>
    </row>
    <row r="1178">
      <c r="A1178" s="5" t="s">
        <v>9</v>
      </c>
      <c r="B1178" s="9" t="str">
        <f>IFERROR(__xludf.DUMMYFUNCTION("""COMPUTED_VALUE"""),"江O澤")</f>
        <v>江O澤</v>
      </c>
      <c r="C1178" s="9" t="str">
        <f>IFERROR(__xludf.DUMMYFUNCTION("""COMPUTED_VALUE"""),"stu*****6@nkhs.tn.edu.tw")</f>
        <v>stu*****6@nkhs.tn.edu.tw</v>
      </c>
      <c r="D1178" s="9" t="str">
        <f>IFERROR(__xludf.DUMMYFUNCTION("""COMPUTED_VALUE"""),"臺南市私立南光高級中學")</f>
        <v>臺南市私立南光高級中學</v>
      </c>
      <c r="E1178" s="9" t="str">
        <f>IFERROR(__xludf.DUMMYFUNCTION("""COMPUTED_VALUE"""),"普通科")</f>
        <v>普通科</v>
      </c>
      <c r="F1178" s="9" t="str">
        <f>IFERROR(__xludf.DUMMYFUNCTION("""COMPUTED_VALUE"""),"三年級")</f>
        <v>三年級</v>
      </c>
      <c r="G1178" s="10" t="str">
        <f>IFERROR(__xludf.DUMMYFUNCTION("""COMPUTED_VALUE"""),"○商品卡$500")</f>
        <v>○商品卡$500</v>
      </c>
      <c r="H1178" s="9"/>
    </row>
    <row r="1179">
      <c r="A1179" s="5" t="s">
        <v>9</v>
      </c>
      <c r="B1179" s="9" t="str">
        <f>IFERROR(__xludf.DUMMYFUNCTION("""COMPUTED_VALUE"""),"李O甄")</f>
        <v>李O甄</v>
      </c>
      <c r="C1179" s="9" t="str">
        <f>IFERROR(__xludf.DUMMYFUNCTION("""COMPUTED_VALUE"""),"stu*****8@nkhs.tn.edu.tw")</f>
        <v>stu*****8@nkhs.tn.edu.tw</v>
      </c>
      <c r="D1179" s="9" t="str">
        <f>IFERROR(__xludf.DUMMYFUNCTION("""COMPUTED_VALUE"""),"臺南市私立南光高級中學")</f>
        <v>臺南市私立南光高級中學</v>
      </c>
      <c r="E1179" s="9" t="str">
        <f>IFERROR(__xludf.DUMMYFUNCTION("""COMPUTED_VALUE"""),"普通科")</f>
        <v>普通科</v>
      </c>
      <c r="F1179" s="9" t="str">
        <f>IFERROR(__xludf.DUMMYFUNCTION("""COMPUTED_VALUE"""),"三年級")</f>
        <v>三年級</v>
      </c>
      <c r="G1179" s="10" t="str">
        <f>IFERROR(__xludf.DUMMYFUNCTION("""COMPUTED_VALUE"""),"★商品卡$1000")</f>
        <v>★商品卡$1000</v>
      </c>
      <c r="H1179" s="9"/>
    </row>
    <row r="1180">
      <c r="A1180" s="5" t="s">
        <v>9</v>
      </c>
      <c r="B1180" s="9" t="str">
        <f>IFERROR(__xludf.DUMMYFUNCTION("""COMPUTED_VALUE"""),"曾O芸")</f>
        <v>曾O芸</v>
      </c>
      <c r="C1180" s="9" t="str">
        <f>IFERROR(__xludf.DUMMYFUNCTION("""COMPUTED_VALUE"""),"stu*****2@nkhs.tn.edu.tw")</f>
        <v>stu*****2@nkhs.tn.edu.tw</v>
      </c>
      <c r="D1180" s="9" t="str">
        <f>IFERROR(__xludf.DUMMYFUNCTION("""COMPUTED_VALUE"""),"臺南市私立南光高級中學")</f>
        <v>臺南市私立南光高級中學</v>
      </c>
      <c r="E1180" s="9" t="str">
        <f>IFERROR(__xludf.DUMMYFUNCTION("""COMPUTED_VALUE"""),"普通科")</f>
        <v>普通科</v>
      </c>
      <c r="F1180" s="9" t="str">
        <f>IFERROR(__xludf.DUMMYFUNCTION("""COMPUTED_VALUE"""),"三年級")</f>
        <v>三年級</v>
      </c>
      <c r="G1180" s="10" t="str">
        <f>IFERROR(__xludf.DUMMYFUNCTION("""COMPUTED_VALUE"""),"獎狀")</f>
        <v>獎狀</v>
      </c>
      <c r="H1180" s="9"/>
    </row>
    <row r="1181">
      <c r="A1181" s="5" t="s">
        <v>9</v>
      </c>
      <c r="B1181" s="9" t="str">
        <f>IFERROR(__xludf.DUMMYFUNCTION("""COMPUTED_VALUE"""),"季O喬")</f>
        <v>季O喬</v>
      </c>
      <c r="C1181" s="9" t="str">
        <f>IFERROR(__xludf.DUMMYFUNCTION("""COMPUTED_VALUE"""),"stu*****1@nkhs.tn.edu.tw")</f>
        <v>stu*****1@nkhs.tn.edu.tw</v>
      </c>
      <c r="D1181" s="9" t="str">
        <f>IFERROR(__xludf.DUMMYFUNCTION("""COMPUTED_VALUE"""),"臺南市私立南光高級中學")</f>
        <v>臺南市私立南光高級中學</v>
      </c>
      <c r="E1181" s="9" t="str">
        <f>IFERROR(__xludf.DUMMYFUNCTION("""COMPUTED_VALUE"""),"普通科")</f>
        <v>普通科</v>
      </c>
      <c r="F1181" s="9" t="str">
        <f>IFERROR(__xludf.DUMMYFUNCTION("""COMPUTED_VALUE"""),"三年級")</f>
        <v>三年級</v>
      </c>
      <c r="G1181" s="10" t="str">
        <f>IFERROR(__xludf.DUMMYFUNCTION("""COMPUTED_VALUE"""),"獎狀")</f>
        <v>獎狀</v>
      </c>
      <c r="H1181" s="9"/>
    </row>
    <row r="1182">
      <c r="A1182" s="5" t="s">
        <v>9</v>
      </c>
      <c r="B1182" s="9" t="str">
        <f>IFERROR(__xludf.DUMMYFUNCTION("""COMPUTED_VALUE"""),"龔O以")</f>
        <v>龔O以</v>
      </c>
      <c r="C1182" s="9" t="str">
        <f>IFERROR(__xludf.DUMMYFUNCTION("""COMPUTED_VALUE"""),"stu*****0@nkhs.tn.edu.tw")</f>
        <v>stu*****0@nkhs.tn.edu.tw</v>
      </c>
      <c r="D1182" s="9" t="str">
        <f>IFERROR(__xludf.DUMMYFUNCTION("""COMPUTED_VALUE"""),"臺南市私立南光高級中學")</f>
        <v>臺南市私立南光高級中學</v>
      </c>
      <c r="E1182" s="9" t="str">
        <f>IFERROR(__xludf.DUMMYFUNCTION("""COMPUTED_VALUE"""),"普通科")</f>
        <v>普通科</v>
      </c>
      <c r="F1182" s="9" t="str">
        <f>IFERROR(__xludf.DUMMYFUNCTION("""COMPUTED_VALUE"""),"三年級")</f>
        <v>三年級</v>
      </c>
      <c r="G1182" s="10" t="str">
        <f>IFERROR(__xludf.DUMMYFUNCTION("""COMPUTED_VALUE"""),"獎狀")</f>
        <v>獎狀</v>
      </c>
      <c r="H1182" s="9"/>
    </row>
    <row r="1183">
      <c r="A1183" s="5" t="s">
        <v>9</v>
      </c>
      <c r="B1183" s="9" t="str">
        <f>IFERROR(__xludf.DUMMYFUNCTION("""COMPUTED_VALUE"""),"姜O妤")</f>
        <v>姜O妤</v>
      </c>
      <c r="C1183" s="9" t="str">
        <f>IFERROR(__xludf.DUMMYFUNCTION("""COMPUTED_VALUE"""),"stu*****4@nkhs.tn.edu.tw")</f>
        <v>stu*****4@nkhs.tn.edu.tw</v>
      </c>
      <c r="D1183" s="9" t="str">
        <f>IFERROR(__xludf.DUMMYFUNCTION("""COMPUTED_VALUE"""),"臺南市私立南光高級中學")</f>
        <v>臺南市私立南光高級中學</v>
      </c>
      <c r="E1183" s="9" t="str">
        <f>IFERROR(__xludf.DUMMYFUNCTION("""COMPUTED_VALUE"""),"普通科")</f>
        <v>普通科</v>
      </c>
      <c r="F1183" s="9" t="str">
        <f>IFERROR(__xludf.DUMMYFUNCTION("""COMPUTED_VALUE"""),"三年級")</f>
        <v>三年級</v>
      </c>
      <c r="G1183" s="10" t="str">
        <f>IFERROR(__xludf.DUMMYFUNCTION("""COMPUTED_VALUE"""),"○商品卡$500")</f>
        <v>○商品卡$500</v>
      </c>
      <c r="H1183" s="9"/>
    </row>
    <row r="1184">
      <c r="A1184" s="5" t="s">
        <v>9</v>
      </c>
      <c r="B1184" s="9" t="str">
        <f>IFERROR(__xludf.DUMMYFUNCTION("""COMPUTED_VALUE"""),"毛O甄")</f>
        <v>毛O甄</v>
      </c>
      <c r="C1184" s="9" t="str">
        <f>IFERROR(__xludf.DUMMYFUNCTION("""COMPUTED_VALUE"""),"stu*****5@nkhs.tn.edu.tw")</f>
        <v>stu*****5@nkhs.tn.edu.tw</v>
      </c>
      <c r="D1184" s="9" t="str">
        <f>IFERROR(__xludf.DUMMYFUNCTION("""COMPUTED_VALUE"""),"臺南市私立南光高級中學")</f>
        <v>臺南市私立南光高級中學</v>
      </c>
      <c r="E1184" s="9" t="str">
        <f>IFERROR(__xludf.DUMMYFUNCTION("""COMPUTED_VALUE"""),"普通科")</f>
        <v>普通科</v>
      </c>
      <c r="F1184" s="9" t="str">
        <f>IFERROR(__xludf.DUMMYFUNCTION("""COMPUTED_VALUE"""),"三年級")</f>
        <v>三年級</v>
      </c>
      <c r="G1184" s="10" t="str">
        <f>IFERROR(__xludf.DUMMYFUNCTION("""COMPUTED_VALUE"""),"獎狀")</f>
        <v>獎狀</v>
      </c>
      <c r="H1184" s="9"/>
    </row>
    <row r="1185">
      <c r="A1185" s="5" t="s">
        <v>9</v>
      </c>
      <c r="B1185" s="9" t="str">
        <f>IFERROR(__xludf.DUMMYFUNCTION("""COMPUTED_VALUE"""),"吳O嫻")</f>
        <v>吳O嫻</v>
      </c>
      <c r="C1185" s="9" t="str">
        <f>IFERROR(__xludf.DUMMYFUNCTION("""COMPUTED_VALUE"""),"stu*****6@nkhs.tn.edu.tw")</f>
        <v>stu*****6@nkhs.tn.edu.tw</v>
      </c>
      <c r="D1185" s="9" t="str">
        <f>IFERROR(__xludf.DUMMYFUNCTION("""COMPUTED_VALUE"""),"臺南市私立南光高級中學")</f>
        <v>臺南市私立南光高級中學</v>
      </c>
      <c r="E1185" s="9" t="str">
        <f>IFERROR(__xludf.DUMMYFUNCTION("""COMPUTED_VALUE"""),"普通科")</f>
        <v>普通科</v>
      </c>
      <c r="F1185" s="9" t="str">
        <f>IFERROR(__xludf.DUMMYFUNCTION("""COMPUTED_VALUE"""),"三年級")</f>
        <v>三年級</v>
      </c>
      <c r="G1185" s="10" t="str">
        <f>IFERROR(__xludf.DUMMYFUNCTION("""COMPUTED_VALUE"""),"獎狀")</f>
        <v>獎狀</v>
      </c>
      <c r="H1185" s="9"/>
    </row>
    <row r="1186">
      <c r="A1186" s="5" t="s">
        <v>9</v>
      </c>
      <c r="B1186" s="9" t="str">
        <f>IFERROR(__xludf.DUMMYFUNCTION("""COMPUTED_VALUE"""),"吳O珊")</f>
        <v>吳O珊</v>
      </c>
      <c r="C1186" s="9" t="str">
        <f>IFERROR(__xludf.DUMMYFUNCTION("""COMPUTED_VALUE"""),"stu*****2@nkhs.tn.edu.tw")</f>
        <v>stu*****2@nkhs.tn.edu.tw</v>
      </c>
      <c r="D1186" s="9" t="str">
        <f>IFERROR(__xludf.DUMMYFUNCTION("""COMPUTED_VALUE"""),"臺南市私立南光高級中學")</f>
        <v>臺南市私立南光高級中學</v>
      </c>
      <c r="E1186" s="9" t="str">
        <f>IFERROR(__xludf.DUMMYFUNCTION("""COMPUTED_VALUE"""),"普通科")</f>
        <v>普通科</v>
      </c>
      <c r="F1186" s="9" t="str">
        <f>IFERROR(__xludf.DUMMYFUNCTION("""COMPUTED_VALUE"""),"三年級")</f>
        <v>三年級</v>
      </c>
      <c r="G1186" s="10" t="str">
        <f>IFERROR(__xludf.DUMMYFUNCTION("""COMPUTED_VALUE"""),"■商品卡$200")</f>
        <v>■商品卡$200</v>
      </c>
      <c r="H1186" s="9"/>
    </row>
    <row r="1187">
      <c r="A1187" s="5" t="s">
        <v>9</v>
      </c>
      <c r="B1187" s="9" t="str">
        <f>IFERROR(__xludf.DUMMYFUNCTION("""COMPUTED_VALUE"""),"陳O羽")</f>
        <v>陳O羽</v>
      </c>
      <c r="C1187" s="9" t="str">
        <f>IFERROR(__xludf.DUMMYFUNCTION("""COMPUTED_VALUE"""),"emi*****043@gmail.com")</f>
        <v>emi*****043@gmail.com</v>
      </c>
      <c r="D1187" s="9" t="str">
        <f>IFERROR(__xludf.DUMMYFUNCTION("""COMPUTED_VALUE"""),"國立南科國際實驗高級中學")</f>
        <v>國立南科國際實驗高級中學</v>
      </c>
      <c r="E1187" s="9" t="str">
        <f>IFERROR(__xludf.DUMMYFUNCTION("""COMPUTED_VALUE"""),"普通科")</f>
        <v>普通科</v>
      </c>
      <c r="F1187" s="9" t="str">
        <f>IFERROR(__xludf.DUMMYFUNCTION("""COMPUTED_VALUE"""),"一年級")</f>
        <v>一年級</v>
      </c>
      <c r="G1187" s="10" t="str">
        <f>IFERROR(__xludf.DUMMYFUNCTION("""COMPUTED_VALUE"""),"○商品卡$500")</f>
        <v>○商品卡$500</v>
      </c>
      <c r="H1187" s="11"/>
    </row>
    <row r="1188">
      <c r="A1188" s="5" t="s">
        <v>9</v>
      </c>
      <c r="B1188" s="9" t="str">
        <f>IFERROR(__xludf.DUMMYFUNCTION("""COMPUTED_VALUE"""),"楊O訢")</f>
        <v>楊O訢</v>
      </c>
      <c r="C1188" s="9" t="str">
        <f>IFERROR(__xludf.DUMMYFUNCTION("""COMPUTED_VALUE"""),"yan*****y0119@gmail.com")</f>
        <v>yan*****y0119@gmail.com</v>
      </c>
      <c r="D1188" s="9" t="str">
        <f>IFERROR(__xludf.DUMMYFUNCTION("""COMPUTED_VALUE"""),"國立南科國際實驗高級中學")</f>
        <v>國立南科國際實驗高級中學</v>
      </c>
      <c r="E1188" s="9" t="str">
        <f>IFERROR(__xludf.DUMMYFUNCTION("""COMPUTED_VALUE"""),"普通科")</f>
        <v>普通科</v>
      </c>
      <c r="F1188" s="9" t="str">
        <f>IFERROR(__xludf.DUMMYFUNCTION("""COMPUTED_VALUE"""),"一年級")</f>
        <v>一年級</v>
      </c>
      <c r="G1188" s="10" t="str">
        <f>IFERROR(__xludf.DUMMYFUNCTION("""COMPUTED_VALUE"""),"獎狀")</f>
        <v>獎狀</v>
      </c>
      <c r="H1188" s="11" t="str">
        <f>IFERROR(__xludf.DUMMYFUNCTION("""COMPUTED_VALUE"""),"學籍資料不齊，請提供【就讀班級】")</f>
        <v>學籍資料不齊，請提供【就讀班級】</v>
      </c>
    </row>
    <row r="1189">
      <c r="A1189" s="5" t="s">
        <v>9</v>
      </c>
      <c r="B1189" s="9" t="str">
        <f>IFERROR(__xludf.DUMMYFUNCTION("""COMPUTED_VALUE"""),"楊O禛")</f>
        <v>楊O禛</v>
      </c>
      <c r="C1189" s="9" t="str">
        <f>IFERROR(__xludf.DUMMYFUNCTION("""COMPUTED_VALUE"""),"rom*****gkid@gmail.com")</f>
        <v>rom*****gkid@gmail.com</v>
      </c>
      <c r="D1189" s="9" t="str">
        <f>IFERROR(__xludf.DUMMYFUNCTION("""COMPUTED_VALUE"""),"國立南科國際實驗高級中學")</f>
        <v>國立南科國際實驗高級中學</v>
      </c>
      <c r="E1189" s="9" t="str">
        <f>IFERROR(__xludf.DUMMYFUNCTION("""COMPUTED_VALUE"""),"普通科")</f>
        <v>普通科</v>
      </c>
      <c r="F1189" s="9" t="str">
        <f>IFERROR(__xludf.DUMMYFUNCTION("""COMPUTED_VALUE"""),"三年級")</f>
        <v>三年級</v>
      </c>
      <c r="G1189" s="10" t="str">
        <f>IFERROR(__xludf.DUMMYFUNCTION("""COMPUTED_VALUE"""),"獎狀")</f>
        <v>獎狀</v>
      </c>
      <c r="H1189" s="11"/>
    </row>
    <row r="1190">
      <c r="A1190" s="5" t="s">
        <v>9</v>
      </c>
      <c r="B1190" s="9" t="str">
        <f>IFERROR(__xludf.DUMMYFUNCTION("""COMPUTED_VALUE"""),"陳O潔")</f>
        <v>陳O潔</v>
      </c>
      <c r="C1190" s="9" t="str">
        <f>IFERROR(__xludf.DUMMYFUNCTION("""COMPUTED_VALUE"""),"s05*****.kh@mail.edu.tw")</f>
        <v>s05*****.kh@mail.edu.tw</v>
      </c>
      <c r="D1190" s="9" t="str">
        <f>IFERROR(__xludf.DUMMYFUNCTION("""COMPUTED_VALUE"""),"高雄市立高雄女子高級中學")</f>
        <v>高雄市立高雄女子高級中學</v>
      </c>
      <c r="E1190" s="9" t="str">
        <f>IFERROR(__xludf.DUMMYFUNCTION("""COMPUTED_VALUE"""),"普通科")</f>
        <v>普通科</v>
      </c>
      <c r="F1190" s="9" t="str">
        <f>IFERROR(__xludf.DUMMYFUNCTION("""COMPUTED_VALUE"""),"一年級")</f>
        <v>一年級</v>
      </c>
      <c r="G1190" s="10" t="str">
        <f>IFERROR(__xludf.DUMMYFUNCTION("""COMPUTED_VALUE"""),"獎狀")</f>
        <v>獎狀</v>
      </c>
      <c r="H1190" s="11"/>
    </row>
    <row r="1191">
      <c r="A1191" s="5" t="s">
        <v>9</v>
      </c>
      <c r="B1191" s="9" t="str">
        <f>IFERROR(__xludf.DUMMYFUNCTION("""COMPUTED_VALUE"""),"江O瑜")</f>
        <v>江O瑜</v>
      </c>
      <c r="C1191" s="9" t="str">
        <f>IFERROR(__xludf.DUMMYFUNCTION("""COMPUTED_VALUE"""),"s05*****.kh@mail.edu.tw")</f>
        <v>s05*****.kh@mail.edu.tw</v>
      </c>
      <c r="D1191" s="9" t="str">
        <f>IFERROR(__xludf.DUMMYFUNCTION("""COMPUTED_VALUE"""),"高雄市立高雄女子高級中學")</f>
        <v>高雄市立高雄女子高級中學</v>
      </c>
      <c r="E1191" s="9" t="str">
        <f>IFERROR(__xludf.DUMMYFUNCTION("""COMPUTED_VALUE"""),"普通科")</f>
        <v>普通科</v>
      </c>
      <c r="F1191" s="9" t="str">
        <f>IFERROR(__xludf.DUMMYFUNCTION("""COMPUTED_VALUE"""),"一年級")</f>
        <v>一年級</v>
      </c>
      <c r="G1191" s="10" t="str">
        <f>IFERROR(__xludf.DUMMYFUNCTION("""COMPUTED_VALUE"""),"獎狀")</f>
        <v>獎狀</v>
      </c>
      <c r="H1191" s="11"/>
    </row>
    <row r="1192">
      <c r="A1192" s="5" t="s">
        <v>9</v>
      </c>
      <c r="B1192" s="9" t="str">
        <f>IFERROR(__xludf.DUMMYFUNCTION("""COMPUTED_VALUE"""),"黃O晴")</f>
        <v>黃O晴</v>
      </c>
      <c r="C1192" s="9" t="str">
        <f>IFERROR(__xludf.DUMMYFUNCTION("""COMPUTED_VALUE"""),"nch*****yahoo.com.tw")</f>
        <v>nch*****yahoo.com.tw</v>
      </c>
      <c r="D1192" s="9" t="str">
        <f>IFERROR(__xludf.DUMMYFUNCTION("""COMPUTED_VALUE"""),"高雄市立高雄女子高級中學")</f>
        <v>高雄市立高雄女子高級中學</v>
      </c>
      <c r="E1192" s="9" t="str">
        <f>IFERROR(__xludf.DUMMYFUNCTION("""COMPUTED_VALUE"""),"普通科")</f>
        <v>普通科</v>
      </c>
      <c r="F1192" s="9" t="str">
        <f>IFERROR(__xludf.DUMMYFUNCTION("""COMPUTED_VALUE"""),"二年級")</f>
        <v>二年級</v>
      </c>
      <c r="G1192" s="10" t="str">
        <f>IFERROR(__xludf.DUMMYFUNCTION("""COMPUTED_VALUE"""),"獎狀")</f>
        <v>獎狀</v>
      </c>
      <c r="H1192" s="11"/>
    </row>
    <row r="1193">
      <c r="A1193" s="5" t="s">
        <v>9</v>
      </c>
      <c r="B1193" s="9" t="str">
        <f>IFERROR(__xludf.DUMMYFUNCTION("""COMPUTED_VALUE"""),"許O維")</f>
        <v>許O維</v>
      </c>
      <c r="C1193" s="9" t="str">
        <f>IFERROR(__xludf.DUMMYFUNCTION("""COMPUTED_VALUE"""),"hsu*****ei@gmail.com")</f>
        <v>hsu*****ei@gmail.com</v>
      </c>
      <c r="D1193" s="9" t="str">
        <f>IFERROR(__xludf.DUMMYFUNCTION("""COMPUTED_VALUE"""),"高雄市立高雄女子高級中學")</f>
        <v>高雄市立高雄女子高級中學</v>
      </c>
      <c r="E1193" s="9" t="str">
        <f>IFERROR(__xludf.DUMMYFUNCTION("""COMPUTED_VALUE"""),"普通科")</f>
        <v>普通科</v>
      </c>
      <c r="F1193" s="9" t="str">
        <f>IFERROR(__xludf.DUMMYFUNCTION("""COMPUTED_VALUE"""),"二年級")</f>
        <v>二年級</v>
      </c>
      <c r="G1193" s="10" t="str">
        <f>IFERROR(__xludf.DUMMYFUNCTION("""COMPUTED_VALUE"""),"獎狀")</f>
        <v>獎狀</v>
      </c>
      <c r="H1193" s="11"/>
    </row>
    <row r="1194">
      <c r="A1194" s="5" t="s">
        <v>9</v>
      </c>
      <c r="B1194" s="9" t="str">
        <f>IFERROR(__xludf.DUMMYFUNCTION("""COMPUTED_VALUE"""),"林O言")</f>
        <v>林O言</v>
      </c>
      <c r="C1194" s="9" t="str">
        <f>IFERROR(__xludf.DUMMYFUNCTION("""COMPUTED_VALUE"""),"s11*****ms2.kghs.kh.edu.tw")</f>
        <v>s11*****ms2.kghs.kh.edu.tw</v>
      </c>
      <c r="D1194" s="9" t="str">
        <f>IFERROR(__xludf.DUMMYFUNCTION("""COMPUTED_VALUE"""),"高雄市立高雄女子高級中學")</f>
        <v>高雄市立高雄女子高級中學</v>
      </c>
      <c r="E1194" s="9" t="str">
        <f>IFERROR(__xludf.DUMMYFUNCTION("""COMPUTED_VALUE"""),"普通科")</f>
        <v>普通科</v>
      </c>
      <c r="F1194" s="9" t="str">
        <f>IFERROR(__xludf.DUMMYFUNCTION("""COMPUTED_VALUE"""),"二年級")</f>
        <v>二年級</v>
      </c>
      <c r="G1194" s="10" t="str">
        <f>IFERROR(__xludf.DUMMYFUNCTION("""COMPUTED_VALUE"""),"獎狀")</f>
        <v>獎狀</v>
      </c>
      <c r="H1194" s="11"/>
    </row>
    <row r="1195">
      <c r="A1195" s="5" t="s">
        <v>9</v>
      </c>
      <c r="B1195" s="9" t="str">
        <f>IFERROR(__xludf.DUMMYFUNCTION("""COMPUTED_VALUE"""),"王O瓖")</f>
        <v>王O瓖</v>
      </c>
      <c r="C1195" s="9" t="str">
        <f>IFERROR(__xludf.DUMMYFUNCTION("""COMPUTED_VALUE"""),"s04*****.kh@mail.edu.tw")</f>
        <v>s04*****.kh@mail.edu.tw</v>
      </c>
      <c r="D1195" s="9" t="str">
        <f>IFERROR(__xludf.DUMMYFUNCTION("""COMPUTED_VALUE"""),"高雄市立中正高級中學")</f>
        <v>高雄市立中正高級中學</v>
      </c>
      <c r="E1195" s="9" t="str">
        <f>IFERROR(__xludf.DUMMYFUNCTION("""COMPUTED_VALUE"""),"普通科")</f>
        <v>普通科</v>
      </c>
      <c r="F1195" s="9" t="str">
        <f>IFERROR(__xludf.DUMMYFUNCTION("""COMPUTED_VALUE"""),"二年級")</f>
        <v>二年級</v>
      </c>
      <c r="G1195" s="10" t="str">
        <f>IFERROR(__xludf.DUMMYFUNCTION("""COMPUTED_VALUE"""),"★商品卡$1000")</f>
        <v>★商品卡$1000</v>
      </c>
      <c r="H1195" s="9"/>
    </row>
    <row r="1196">
      <c r="A1196" s="5" t="s">
        <v>9</v>
      </c>
      <c r="B1196" s="9" t="str">
        <f>IFERROR(__xludf.DUMMYFUNCTION("""COMPUTED_VALUE"""),"周O妘")</f>
        <v>周O妘</v>
      </c>
      <c r="C1196" s="9" t="str">
        <f>IFERROR(__xludf.DUMMYFUNCTION("""COMPUTED_VALUE"""),"s11*****@cchs.kh.edu.tw")</f>
        <v>s11*****@cchs.kh.edu.tw</v>
      </c>
      <c r="D1196" s="9" t="str">
        <f>IFERROR(__xludf.DUMMYFUNCTION("""COMPUTED_VALUE"""),"高雄市立中正高級中學")</f>
        <v>高雄市立中正高級中學</v>
      </c>
      <c r="E1196" s="9" t="str">
        <f>IFERROR(__xludf.DUMMYFUNCTION("""COMPUTED_VALUE"""),"普通科")</f>
        <v>普通科</v>
      </c>
      <c r="F1196" s="9" t="str">
        <f>IFERROR(__xludf.DUMMYFUNCTION("""COMPUTED_VALUE"""),"二年級")</f>
        <v>二年級</v>
      </c>
      <c r="G1196" s="10" t="str">
        <f>IFERROR(__xludf.DUMMYFUNCTION("""COMPUTED_VALUE"""),"獎狀")</f>
        <v>獎狀</v>
      </c>
      <c r="H1196" s="9"/>
    </row>
    <row r="1197">
      <c r="A1197" s="5" t="s">
        <v>9</v>
      </c>
      <c r="B1197" s="9" t="str">
        <f>IFERROR(__xludf.DUMMYFUNCTION("""COMPUTED_VALUE"""),"魏O芸")</f>
        <v>魏O芸</v>
      </c>
      <c r="C1197" s="9" t="str">
        <f>IFERROR(__xludf.DUMMYFUNCTION("""COMPUTED_VALUE"""),"s11*****@cchs.kh.edu.tw")</f>
        <v>s11*****@cchs.kh.edu.tw</v>
      </c>
      <c r="D1197" s="9" t="str">
        <f>IFERROR(__xludf.DUMMYFUNCTION("""COMPUTED_VALUE"""),"高雄市立中正高級中學")</f>
        <v>高雄市立中正高級中學</v>
      </c>
      <c r="E1197" s="9" t="str">
        <f>IFERROR(__xludf.DUMMYFUNCTION("""COMPUTED_VALUE"""),"普通科")</f>
        <v>普通科</v>
      </c>
      <c r="F1197" s="9" t="str">
        <f>IFERROR(__xludf.DUMMYFUNCTION("""COMPUTED_VALUE"""),"二年級")</f>
        <v>二年級</v>
      </c>
      <c r="G1197" s="10" t="str">
        <f>IFERROR(__xludf.DUMMYFUNCTION("""COMPUTED_VALUE"""),"獎狀")</f>
        <v>獎狀</v>
      </c>
      <c r="H1197" s="9"/>
    </row>
    <row r="1198">
      <c r="A1198" s="5" t="s">
        <v>9</v>
      </c>
      <c r="B1198" s="9" t="str">
        <f>IFERROR(__xludf.DUMMYFUNCTION("""COMPUTED_VALUE"""),"陳O妘")</f>
        <v>陳O妘</v>
      </c>
      <c r="C1198" s="9" t="str">
        <f>IFERROR(__xludf.DUMMYFUNCTION("""COMPUTED_VALUE"""),"s11*****@cchs.kh.edu.tw")</f>
        <v>s11*****@cchs.kh.edu.tw</v>
      </c>
      <c r="D1198" s="9" t="str">
        <f>IFERROR(__xludf.DUMMYFUNCTION("""COMPUTED_VALUE"""),"高雄市立中正高級中學")</f>
        <v>高雄市立中正高級中學</v>
      </c>
      <c r="E1198" s="9" t="str">
        <f>IFERROR(__xludf.DUMMYFUNCTION("""COMPUTED_VALUE"""),"普通科")</f>
        <v>普通科</v>
      </c>
      <c r="F1198" s="9" t="str">
        <f>IFERROR(__xludf.DUMMYFUNCTION("""COMPUTED_VALUE"""),"二年級")</f>
        <v>二年級</v>
      </c>
      <c r="G1198" s="10" t="str">
        <f>IFERROR(__xludf.DUMMYFUNCTION("""COMPUTED_VALUE"""),"獎狀")</f>
        <v>獎狀</v>
      </c>
      <c r="H1198" s="9"/>
    </row>
    <row r="1199">
      <c r="A1199" s="5" t="s">
        <v>9</v>
      </c>
      <c r="B1199" s="9" t="str">
        <f>IFERROR(__xludf.DUMMYFUNCTION("""COMPUTED_VALUE"""),"陳O樂")</f>
        <v>陳O樂</v>
      </c>
      <c r="C1199" s="9" t="str">
        <f>IFERROR(__xludf.DUMMYFUNCTION("""COMPUTED_VALUE"""),"s11*****@cchs.kh.edu.tw")</f>
        <v>s11*****@cchs.kh.edu.tw</v>
      </c>
      <c r="D1199" s="9" t="str">
        <f>IFERROR(__xludf.DUMMYFUNCTION("""COMPUTED_VALUE"""),"高雄市立中正高級中學")</f>
        <v>高雄市立中正高級中學</v>
      </c>
      <c r="E1199" s="9" t="str">
        <f>IFERROR(__xludf.DUMMYFUNCTION("""COMPUTED_VALUE"""),"普通科")</f>
        <v>普通科</v>
      </c>
      <c r="F1199" s="9" t="str">
        <f>IFERROR(__xludf.DUMMYFUNCTION("""COMPUTED_VALUE"""),"二年級")</f>
        <v>二年級</v>
      </c>
      <c r="G1199" s="10" t="str">
        <f>IFERROR(__xludf.DUMMYFUNCTION("""COMPUTED_VALUE"""),"獎狀")</f>
        <v>獎狀</v>
      </c>
      <c r="H1199" s="9"/>
    </row>
    <row r="1200">
      <c r="A1200" s="5" t="s">
        <v>9</v>
      </c>
      <c r="B1200" s="9" t="str">
        <f>IFERROR(__xludf.DUMMYFUNCTION("""COMPUTED_VALUE"""),"顏O均")</f>
        <v>顏O均</v>
      </c>
      <c r="C1200" s="9" t="str">
        <f>IFERROR(__xludf.DUMMYFUNCTION("""COMPUTED_VALUE"""),"s11*****@cchs.kh.edu.tw")</f>
        <v>s11*****@cchs.kh.edu.tw</v>
      </c>
      <c r="D1200" s="9" t="str">
        <f>IFERROR(__xludf.DUMMYFUNCTION("""COMPUTED_VALUE"""),"高雄市立中正高級中學")</f>
        <v>高雄市立中正高級中學</v>
      </c>
      <c r="E1200" s="9" t="str">
        <f>IFERROR(__xludf.DUMMYFUNCTION("""COMPUTED_VALUE"""),"普通科")</f>
        <v>普通科</v>
      </c>
      <c r="F1200" s="9" t="str">
        <f>IFERROR(__xludf.DUMMYFUNCTION("""COMPUTED_VALUE"""),"二年級")</f>
        <v>二年級</v>
      </c>
      <c r="G1200" s="10" t="str">
        <f>IFERROR(__xludf.DUMMYFUNCTION("""COMPUTED_VALUE"""),"○商品卡$500")</f>
        <v>○商品卡$500</v>
      </c>
      <c r="H1200" s="9"/>
    </row>
    <row r="1201">
      <c r="A1201" s="5" t="s">
        <v>9</v>
      </c>
      <c r="B1201" s="9" t="str">
        <f>IFERROR(__xludf.DUMMYFUNCTION("""COMPUTED_VALUE"""),"林O臻")</f>
        <v>林O臻</v>
      </c>
      <c r="C1201" s="9" t="str">
        <f>IFERROR(__xludf.DUMMYFUNCTION("""COMPUTED_VALUE"""),"s11*****@cchs.kh.edu.tw")</f>
        <v>s11*****@cchs.kh.edu.tw</v>
      </c>
      <c r="D1201" s="9" t="str">
        <f>IFERROR(__xludf.DUMMYFUNCTION("""COMPUTED_VALUE"""),"高雄市立中正高級中學")</f>
        <v>高雄市立中正高級中學</v>
      </c>
      <c r="E1201" s="9" t="str">
        <f>IFERROR(__xludf.DUMMYFUNCTION("""COMPUTED_VALUE"""),"普通科")</f>
        <v>普通科</v>
      </c>
      <c r="F1201" s="9" t="str">
        <f>IFERROR(__xludf.DUMMYFUNCTION("""COMPUTED_VALUE"""),"二年級")</f>
        <v>二年級</v>
      </c>
      <c r="G1201" s="10" t="str">
        <f>IFERROR(__xludf.DUMMYFUNCTION("""COMPUTED_VALUE"""),"■商品卡$200")</f>
        <v>■商品卡$200</v>
      </c>
      <c r="H1201" s="9"/>
    </row>
    <row r="1202">
      <c r="A1202" s="5" t="s">
        <v>9</v>
      </c>
      <c r="B1202" s="9" t="str">
        <f>IFERROR(__xludf.DUMMYFUNCTION("""COMPUTED_VALUE"""),"洪O筑")</f>
        <v>洪O筑</v>
      </c>
      <c r="C1202" s="9" t="str">
        <f>IFERROR(__xludf.DUMMYFUNCTION("""COMPUTED_VALUE"""),"tt8*****@mail.edu.tw")</f>
        <v>tt8*****@mail.edu.tw</v>
      </c>
      <c r="D1202" s="9" t="str">
        <f>IFERROR(__xludf.DUMMYFUNCTION("""COMPUTED_VALUE"""),"高雄市立中正高級中學")</f>
        <v>高雄市立中正高級中學</v>
      </c>
      <c r="E1202" s="9" t="str">
        <f>IFERROR(__xludf.DUMMYFUNCTION("""COMPUTED_VALUE"""),"普通科")</f>
        <v>普通科</v>
      </c>
      <c r="F1202" s="9" t="str">
        <f>IFERROR(__xludf.DUMMYFUNCTION("""COMPUTED_VALUE"""),"二年級")</f>
        <v>二年級</v>
      </c>
      <c r="G1202" s="10" t="str">
        <f>IFERROR(__xludf.DUMMYFUNCTION("""COMPUTED_VALUE"""),"獎狀")</f>
        <v>獎狀</v>
      </c>
      <c r="H1202" s="9"/>
    </row>
    <row r="1203">
      <c r="A1203" s="5" t="s">
        <v>9</v>
      </c>
      <c r="B1203" s="9" t="str">
        <f>IFERROR(__xludf.DUMMYFUNCTION("""COMPUTED_VALUE"""),"李O叡")</f>
        <v>李O叡</v>
      </c>
      <c r="C1203" s="9" t="str">
        <f>IFERROR(__xludf.DUMMYFUNCTION("""COMPUTED_VALUE"""),"s11*****@cchs.kh.edu.tw")</f>
        <v>s11*****@cchs.kh.edu.tw</v>
      </c>
      <c r="D1203" s="9" t="str">
        <f>IFERROR(__xludf.DUMMYFUNCTION("""COMPUTED_VALUE"""),"高雄市立中正高級中學")</f>
        <v>高雄市立中正高級中學</v>
      </c>
      <c r="E1203" s="9" t="str">
        <f>IFERROR(__xludf.DUMMYFUNCTION("""COMPUTED_VALUE"""),"普通科")</f>
        <v>普通科</v>
      </c>
      <c r="F1203" s="9" t="str">
        <f>IFERROR(__xludf.DUMMYFUNCTION("""COMPUTED_VALUE"""),"二年級")</f>
        <v>二年級</v>
      </c>
      <c r="G1203" s="10" t="str">
        <f>IFERROR(__xludf.DUMMYFUNCTION("""COMPUTED_VALUE"""),"■商品卡$200")</f>
        <v>■商品卡$200</v>
      </c>
      <c r="H1203" s="9"/>
    </row>
    <row r="1204">
      <c r="A1204" s="5" t="s">
        <v>9</v>
      </c>
      <c r="B1204" s="9" t="str">
        <f>IFERROR(__xludf.DUMMYFUNCTION("""COMPUTED_VALUE"""),"張O惠")</f>
        <v>張O惠</v>
      </c>
      <c r="C1204" s="9" t="str">
        <f>IFERROR(__xludf.DUMMYFUNCTION("""COMPUTED_VALUE"""),"s11*****@cchs.kh.edu.tw")</f>
        <v>s11*****@cchs.kh.edu.tw</v>
      </c>
      <c r="D1204" s="9" t="str">
        <f>IFERROR(__xludf.DUMMYFUNCTION("""COMPUTED_VALUE"""),"高雄市立中正高級中學")</f>
        <v>高雄市立中正高級中學</v>
      </c>
      <c r="E1204" s="9" t="str">
        <f>IFERROR(__xludf.DUMMYFUNCTION("""COMPUTED_VALUE"""),"普通科")</f>
        <v>普通科</v>
      </c>
      <c r="F1204" s="9" t="str">
        <f>IFERROR(__xludf.DUMMYFUNCTION("""COMPUTED_VALUE"""),"二年級")</f>
        <v>二年級</v>
      </c>
      <c r="G1204" s="10" t="str">
        <f>IFERROR(__xludf.DUMMYFUNCTION("""COMPUTED_VALUE"""),"獎狀")</f>
        <v>獎狀</v>
      </c>
      <c r="H1204" s="9"/>
    </row>
    <row r="1205">
      <c r="A1205" s="5" t="s">
        <v>9</v>
      </c>
      <c r="B1205" s="9" t="str">
        <f>IFERROR(__xludf.DUMMYFUNCTION("""COMPUTED_VALUE"""),"李O恩")</f>
        <v>李O恩</v>
      </c>
      <c r="C1205" s="9" t="str">
        <f>IFERROR(__xludf.DUMMYFUNCTION("""COMPUTED_VALUE"""),"s11*****@cchs.kh.edu.tw")</f>
        <v>s11*****@cchs.kh.edu.tw</v>
      </c>
      <c r="D1205" s="9" t="str">
        <f>IFERROR(__xludf.DUMMYFUNCTION("""COMPUTED_VALUE"""),"高雄市立中正高級中學")</f>
        <v>高雄市立中正高級中學</v>
      </c>
      <c r="E1205" s="9" t="str">
        <f>IFERROR(__xludf.DUMMYFUNCTION("""COMPUTED_VALUE"""),"普通科")</f>
        <v>普通科</v>
      </c>
      <c r="F1205" s="9" t="str">
        <f>IFERROR(__xludf.DUMMYFUNCTION("""COMPUTED_VALUE"""),"二年級")</f>
        <v>二年級</v>
      </c>
      <c r="G1205" s="10" t="str">
        <f>IFERROR(__xludf.DUMMYFUNCTION("""COMPUTED_VALUE"""),"獎狀")</f>
        <v>獎狀</v>
      </c>
      <c r="H1205" s="9"/>
    </row>
    <row r="1206">
      <c r="A1206" s="5" t="s">
        <v>9</v>
      </c>
      <c r="B1206" s="9" t="str">
        <f>IFERROR(__xludf.DUMMYFUNCTION("""COMPUTED_VALUE"""),"蕭O宇")</f>
        <v>蕭O宇</v>
      </c>
      <c r="C1206" s="9" t="str">
        <f>IFERROR(__xludf.DUMMYFUNCTION("""COMPUTED_VALUE"""),"311*****tu.nknush.kh.edu.tw")</f>
        <v>311*****tu.nknush.kh.edu.tw</v>
      </c>
      <c r="D1206" s="9" t="str">
        <f>IFERROR(__xludf.DUMMYFUNCTION("""COMPUTED_VALUE"""),"國立高雄師範大學附屬高級中學")</f>
        <v>國立高雄師範大學附屬高級中學</v>
      </c>
      <c r="E1206" s="9" t="str">
        <f>IFERROR(__xludf.DUMMYFUNCTION("""COMPUTED_VALUE"""),"普通科")</f>
        <v>普通科</v>
      </c>
      <c r="F1206" s="9" t="str">
        <f>IFERROR(__xludf.DUMMYFUNCTION("""COMPUTED_VALUE"""),"一年級")</f>
        <v>一年級</v>
      </c>
      <c r="G1206" s="10" t="str">
        <f>IFERROR(__xludf.DUMMYFUNCTION("""COMPUTED_VALUE"""),"獎狀")</f>
        <v>獎狀</v>
      </c>
      <c r="H1206" s="11"/>
    </row>
    <row r="1207">
      <c r="A1207" s="5" t="s">
        <v>9</v>
      </c>
      <c r="B1207" s="9" t="str">
        <f>IFERROR(__xludf.DUMMYFUNCTION("""COMPUTED_VALUE"""),"侯O宏")</f>
        <v>侯O宏</v>
      </c>
      <c r="C1207" s="9" t="str">
        <f>IFERROR(__xludf.DUMMYFUNCTION("""COMPUTED_VALUE"""),"311*****tu.nknush.kh.edu.tw")</f>
        <v>311*****tu.nknush.kh.edu.tw</v>
      </c>
      <c r="D1207" s="9" t="str">
        <f>IFERROR(__xludf.DUMMYFUNCTION("""COMPUTED_VALUE"""),"國立高雄師範大學附屬高級中學")</f>
        <v>國立高雄師範大學附屬高級中學</v>
      </c>
      <c r="E1207" s="9" t="str">
        <f>IFERROR(__xludf.DUMMYFUNCTION("""COMPUTED_VALUE"""),"普通科")</f>
        <v>普通科</v>
      </c>
      <c r="F1207" s="9" t="str">
        <f>IFERROR(__xludf.DUMMYFUNCTION("""COMPUTED_VALUE"""),"二年級")</f>
        <v>二年級</v>
      </c>
      <c r="G1207" s="10" t="str">
        <f>IFERROR(__xludf.DUMMYFUNCTION("""COMPUTED_VALUE"""),"獎狀")</f>
        <v>獎狀</v>
      </c>
      <c r="H1207" s="11" t="str">
        <f>IFERROR(__xludf.DUMMYFUNCTION("""COMPUTED_VALUE"""),"學籍資料不齊，請提供【就讀班級】")</f>
        <v>學籍資料不齊，請提供【就讀班級】</v>
      </c>
    </row>
    <row r="1208">
      <c r="A1208" s="5" t="s">
        <v>9</v>
      </c>
      <c r="B1208" s="9" t="str">
        <f>IFERROR(__xludf.DUMMYFUNCTION("""COMPUTED_VALUE"""),"黃O杰")</f>
        <v>黃O杰</v>
      </c>
      <c r="C1208" s="9" t="str">
        <f>IFERROR(__xludf.DUMMYFUNCTION("""COMPUTED_VALUE"""),"jay*****421@gmail.com")</f>
        <v>jay*****421@gmail.com</v>
      </c>
      <c r="D1208" s="9" t="str">
        <f>IFERROR(__xludf.DUMMYFUNCTION("""COMPUTED_VALUE"""),"高雄市立鼓山高級中學")</f>
        <v>高雄市立鼓山高級中學</v>
      </c>
      <c r="E1208" s="9" t="str">
        <f>IFERROR(__xludf.DUMMYFUNCTION("""COMPUTED_VALUE"""),"普通科")</f>
        <v>普通科</v>
      </c>
      <c r="F1208" s="9" t="str">
        <f>IFERROR(__xludf.DUMMYFUNCTION("""COMPUTED_VALUE"""),"二年級")</f>
        <v>二年級</v>
      </c>
      <c r="G1208" s="10" t="str">
        <f>IFERROR(__xludf.DUMMYFUNCTION("""COMPUTED_VALUE"""),"■商品卡$200")</f>
        <v>■商品卡$200</v>
      </c>
      <c r="H1208" s="9"/>
    </row>
    <row r="1209">
      <c r="A1209" s="5" t="s">
        <v>9</v>
      </c>
      <c r="B1209" s="9" t="str">
        <f>IFERROR(__xludf.DUMMYFUNCTION("""COMPUTED_VALUE"""),"鄭O廷")</f>
        <v>鄭O廷</v>
      </c>
      <c r="C1209" s="9" t="str">
        <f>IFERROR(__xludf.DUMMYFUNCTION("""COMPUTED_VALUE"""),"s13*****kusjh.kh.edu.tw")</f>
        <v>s13*****kusjh.kh.edu.tw</v>
      </c>
      <c r="D1209" s="9" t="str">
        <f>IFERROR(__xludf.DUMMYFUNCTION("""COMPUTED_VALUE"""),"高雄市立鼓山高級中學")</f>
        <v>高雄市立鼓山高級中學</v>
      </c>
      <c r="E1209" s="9" t="str">
        <f>IFERROR(__xludf.DUMMYFUNCTION("""COMPUTED_VALUE"""),"普通科")</f>
        <v>普通科</v>
      </c>
      <c r="F1209" s="9" t="str">
        <f>IFERROR(__xludf.DUMMYFUNCTION("""COMPUTED_VALUE"""),"二年級")</f>
        <v>二年級</v>
      </c>
      <c r="G1209" s="10" t="str">
        <f>IFERROR(__xludf.DUMMYFUNCTION("""COMPUTED_VALUE"""),"獎狀")</f>
        <v>獎狀</v>
      </c>
      <c r="H1209" s="11"/>
    </row>
    <row r="1210">
      <c r="A1210" s="5" t="s">
        <v>9</v>
      </c>
      <c r="B1210" s="9" t="str">
        <f>IFERROR(__xludf.DUMMYFUNCTION("""COMPUTED_VALUE"""),"黃O歆")</f>
        <v>黃O歆</v>
      </c>
      <c r="C1210" s="9" t="str">
        <f>IFERROR(__xludf.DUMMYFUNCTION("""COMPUTED_VALUE"""),"hsu*****299@gmail.com")</f>
        <v>hsu*****299@gmail.com</v>
      </c>
      <c r="D1210" s="9" t="str">
        <f>IFERROR(__xludf.DUMMYFUNCTION("""COMPUTED_VALUE"""),"高雄市立前鎮高級中學")</f>
        <v>高雄市立前鎮高級中學</v>
      </c>
      <c r="E1210" s="9" t="str">
        <f>IFERROR(__xludf.DUMMYFUNCTION("""COMPUTED_VALUE"""),"普通科")</f>
        <v>普通科</v>
      </c>
      <c r="F1210" s="9" t="str">
        <f>IFERROR(__xludf.DUMMYFUNCTION("""COMPUTED_VALUE"""),"一年級")</f>
        <v>一年級</v>
      </c>
      <c r="G1210" s="10" t="str">
        <f>IFERROR(__xludf.DUMMYFUNCTION("""COMPUTED_VALUE"""),"獎狀")</f>
        <v>獎狀</v>
      </c>
      <c r="H1210" s="11"/>
    </row>
    <row r="1211">
      <c r="A1211" s="5" t="s">
        <v>9</v>
      </c>
      <c r="B1211" s="9" t="str">
        <f>IFERROR(__xludf.DUMMYFUNCTION("""COMPUTED_VALUE"""),"張O芸")</f>
        <v>張O芸</v>
      </c>
      <c r="C1211" s="9" t="str">
        <f>IFERROR(__xludf.DUMMYFUNCTION("""COMPUTED_VALUE"""),"s04*****.kh@mail.edu.tw")</f>
        <v>s04*****.kh@mail.edu.tw</v>
      </c>
      <c r="D1211" s="9" t="str">
        <f>IFERROR(__xludf.DUMMYFUNCTION("""COMPUTED_VALUE"""),"高雄市立前鎮高級中學")</f>
        <v>高雄市立前鎮高級中學</v>
      </c>
      <c r="E1211" s="9" t="str">
        <f>IFERROR(__xludf.DUMMYFUNCTION("""COMPUTED_VALUE"""),"普通科")</f>
        <v>普通科</v>
      </c>
      <c r="F1211" s="9" t="str">
        <f>IFERROR(__xludf.DUMMYFUNCTION("""COMPUTED_VALUE"""),"二年級")</f>
        <v>二年級</v>
      </c>
      <c r="G1211" s="10" t="str">
        <f>IFERROR(__xludf.DUMMYFUNCTION("""COMPUTED_VALUE"""),"獎狀")</f>
        <v>獎狀</v>
      </c>
      <c r="H1211" s="11"/>
    </row>
    <row r="1212">
      <c r="A1212" s="5" t="s">
        <v>9</v>
      </c>
      <c r="B1212" s="9" t="str">
        <f>IFERROR(__xludf.DUMMYFUNCTION("""COMPUTED_VALUE"""),"柯O涵")</f>
        <v>柯O涵</v>
      </c>
      <c r="C1212" s="9" t="str">
        <f>IFERROR(__xludf.DUMMYFUNCTION("""COMPUTED_VALUE"""),"113*****smhs.kh.edu.tw")</f>
        <v>113*****smhs.kh.edu.tw</v>
      </c>
      <c r="D1212" s="9" t="str">
        <f>IFERROR(__xludf.DUMMYFUNCTION("""COMPUTED_VALUE"""),"高雄市立三民高級中學")</f>
        <v>高雄市立三民高級中學</v>
      </c>
      <c r="E1212" s="9" t="str">
        <f>IFERROR(__xludf.DUMMYFUNCTION("""COMPUTED_VALUE"""),"普通科")</f>
        <v>普通科</v>
      </c>
      <c r="F1212" s="9" t="str">
        <f>IFERROR(__xludf.DUMMYFUNCTION("""COMPUTED_VALUE"""),"二年級")</f>
        <v>二年級</v>
      </c>
      <c r="G1212" s="10" t="str">
        <f>IFERROR(__xludf.DUMMYFUNCTION("""COMPUTED_VALUE"""),"獎狀")</f>
        <v>獎狀</v>
      </c>
      <c r="H1212" s="9"/>
    </row>
    <row r="1213">
      <c r="A1213" s="5" t="s">
        <v>9</v>
      </c>
      <c r="B1213" s="9" t="str">
        <f>IFERROR(__xludf.DUMMYFUNCTION("""COMPUTED_VALUE"""),"劉O芠")</f>
        <v>劉O芠</v>
      </c>
      <c r="C1213" s="9" t="str">
        <f>IFERROR(__xludf.DUMMYFUNCTION("""COMPUTED_VALUE"""),"liu*****20@gmail.com")</f>
        <v>liu*****20@gmail.com</v>
      </c>
      <c r="D1213" s="9" t="str">
        <f>IFERROR(__xludf.DUMMYFUNCTION("""COMPUTED_VALUE"""),"高雄市立三民高級中學")</f>
        <v>高雄市立三民高級中學</v>
      </c>
      <c r="E1213" s="9" t="str">
        <f>IFERROR(__xludf.DUMMYFUNCTION("""COMPUTED_VALUE"""),"普通科")</f>
        <v>普通科</v>
      </c>
      <c r="F1213" s="9" t="str">
        <f>IFERROR(__xludf.DUMMYFUNCTION("""COMPUTED_VALUE"""),"二年級")</f>
        <v>二年級</v>
      </c>
      <c r="G1213" s="10" t="str">
        <f>IFERROR(__xludf.DUMMYFUNCTION("""COMPUTED_VALUE"""),"獎狀")</f>
        <v>獎狀</v>
      </c>
      <c r="H1213" s="9"/>
    </row>
    <row r="1214">
      <c r="A1214" s="5" t="s">
        <v>9</v>
      </c>
      <c r="B1214" s="9" t="str">
        <f>IFERROR(__xludf.DUMMYFUNCTION("""COMPUTED_VALUE"""),"洪O鈞")</f>
        <v>洪O鈞</v>
      </c>
      <c r="C1214" s="9" t="str">
        <f>IFERROR(__xludf.DUMMYFUNCTION("""COMPUTED_VALUE"""),"s04*****@mail.edu.tw")</f>
        <v>s04*****@mail.edu.tw</v>
      </c>
      <c r="D1214" s="9" t="str">
        <f>IFERROR(__xludf.DUMMYFUNCTION("""COMPUTED_VALUE"""),"高雄市立高雄高級中學")</f>
        <v>高雄市立高雄高級中學</v>
      </c>
      <c r="E1214" s="9" t="str">
        <f>IFERROR(__xludf.DUMMYFUNCTION("""COMPUTED_VALUE"""),"普通科")</f>
        <v>普通科</v>
      </c>
      <c r="F1214" s="9" t="str">
        <f>IFERROR(__xludf.DUMMYFUNCTION("""COMPUTED_VALUE"""),"一年級")</f>
        <v>一年級</v>
      </c>
      <c r="G1214" s="10" t="str">
        <f>IFERROR(__xludf.DUMMYFUNCTION("""COMPUTED_VALUE"""),"獎狀")</f>
        <v>獎狀</v>
      </c>
      <c r="H1214" s="9"/>
    </row>
    <row r="1215">
      <c r="A1215" s="5" t="s">
        <v>9</v>
      </c>
      <c r="B1215" s="9" t="str">
        <f>IFERROR(__xludf.DUMMYFUNCTION("""COMPUTED_VALUE"""),"張O瑋")</f>
        <v>張O瑋</v>
      </c>
      <c r="C1215" s="9" t="str">
        <f>IFERROR(__xludf.DUMMYFUNCTION("""COMPUTED_VALUE"""),"aa0*****5990@gmail.com")</f>
        <v>aa0*****5990@gmail.com</v>
      </c>
      <c r="D1215" s="9" t="str">
        <f>IFERROR(__xludf.DUMMYFUNCTION("""COMPUTED_VALUE"""),"高雄市立楠梓高級中學")</f>
        <v>高雄市立楠梓高級中學</v>
      </c>
      <c r="E1215" s="9" t="str">
        <f>IFERROR(__xludf.DUMMYFUNCTION("""COMPUTED_VALUE"""),"普通科")</f>
        <v>普通科</v>
      </c>
      <c r="F1215" s="9" t="str">
        <f>IFERROR(__xludf.DUMMYFUNCTION("""COMPUTED_VALUE"""),"一年級")</f>
        <v>一年級</v>
      </c>
      <c r="G1215" s="10" t="str">
        <f>IFERROR(__xludf.DUMMYFUNCTION("""COMPUTED_VALUE"""),"獎狀")</f>
        <v>獎狀</v>
      </c>
      <c r="H1215" s="9"/>
    </row>
    <row r="1216">
      <c r="A1216" s="5" t="s">
        <v>9</v>
      </c>
      <c r="B1216" s="9" t="str">
        <f>IFERROR(__xludf.DUMMYFUNCTION("""COMPUTED_VALUE"""),"孫O慧")</f>
        <v>孫O慧</v>
      </c>
      <c r="C1216" s="9" t="str">
        <f>IFERROR(__xludf.DUMMYFUNCTION("""COMPUTED_VALUE"""),"sun*****ui595@gmail.com")</f>
        <v>sun*****ui595@gmail.com</v>
      </c>
      <c r="D1216" s="9" t="str">
        <f>IFERROR(__xludf.DUMMYFUNCTION("""COMPUTED_VALUE"""),"高雄市立楠梓高級中學")</f>
        <v>高雄市立楠梓高級中學</v>
      </c>
      <c r="E1216" s="9" t="str">
        <f>IFERROR(__xludf.DUMMYFUNCTION("""COMPUTED_VALUE"""),"普通科")</f>
        <v>普通科</v>
      </c>
      <c r="F1216" s="9" t="str">
        <f>IFERROR(__xludf.DUMMYFUNCTION("""COMPUTED_VALUE"""),"一年級")</f>
        <v>一年級</v>
      </c>
      <c r="G1216" s="10" t="str">
        <f>IFERROR(__xludf.DUMMYFUNCTION("""COMPUTED_VALUE"""),"獎狀")</f>
        <v>獎狀</v>
      </c>
      <c r="H1216" s="9"/>
    </row>
    <row r="1217">
      <c r="A1217" s="5" t="s">
        <v>9</v>
      </c>
      <c r="B1217" s="9" t="str">
        <f>IFERROR(__xludf.DUMMYFUNCTION("""COMPUTED_VALUE"""),"田O齡")</f>
        <v>田O齡</v>
      </c>
      <c r="C1217" s="9" t="str">
        <f>IFERROR(__xludf.DUMMYFUNCTION("""COMPUTED_VALUE"""),"104*****tps.kh.edu.tw")</f>
        <v>104*****tps.kh.edu.tw</v>
      </c>
      <c r="D1217" s="9" t="str">
        <f>IFERROR(__xludf.DUMMYFUNCTION("""COMPUTED_VALUE"""),"高雄市立楠梓高級中學")</f>
        <v>高雄市立楠梓高級中學</v>
      </c>
      <c r="E1217" s="9" t="str">
        <f>IFERROR(__xludf.DUMMYFUNCTION("""COMPUTED_VALUE"""),"普通科")</f>
        <v>普通科</v>
      </c>
      <c r="F1217" s="9" t="str">
        <f>IFERROR(__xludf.DUMMYFUNCTION("""COMPUTED_VALUE"""),"一年級")</f>
        <v>一年級</v>
      </c>
      <c r="G1217" s="10" t="str">
        <f>IFERROR(__xludf.DUMMYFUNCTION("""COMPUTED_VALUE"""),"獎狀")</f>
        <v>獎狀</v>
      </c>
      <c r="H1217" s="9"/>
    </row>
    <row r="1218">
      <c r="A1218" s="5" t="s">
        <v>9</v>
      </c>
      <c r="B1218" s="9" t="str">
        <f>IFERROR(__xludf.DUMMYFUNCTION("""COMPUTED_VALUE"""),"鄭O均")</f>
        <v>鄭O均</v>
      </c>
      <c r="C1218" s="9" t="str">
        <f>IFERROR(__xludf.DUMMYFUNCTION("""COMPUTED_VALUE"""),"mil*****@mail.edu.tw")</f>
        <v>mil*****@mail.edu.tw</v>
      </c>
      <c r="D1218" s="9" t="str">
        <f>IFERROR(__xludf.DUMMYFUNCTION("""COMPUTED_VALUE"""),"高雄市立楠梓高級中學")</f>
        <v>高雄市立楠梓高級中學</v>
      </c>
      <c r="E1218" s="9" t="str">
        <f>IFERROR(__xludf.DUMMYFUNCTION("""COMPUTED_VALUE"""),"普通科")</f>
        <v>普通科</v>
      </c>
      <c r="F1218" s="9" t="str">
        <f>IFERROR(__xludf.DUMMYFUNCTION("""COMPUTED_VALUE"""),"一年級")</f>
        <v>一年級</v>
      </c>
      <c r="G1218" s="10" t="str">
        <f>IFERROR(__xludf.DUMMYFUNCTION("""COMPUTED_VALUE"""),"獎狀")</f>
        <v>獎狀</v>
      </c>
      <c r="H1218" s="9"/>
    </row>
    <row r="1219">
      <c r="A1219" s="5" t="s">
        <v>9</v>
      </c>
      <c r="B1219" s="9" t="str">
        <f>IFERROR(__xludf.DUMMYFUNCTION("""COMPUTED_VALUE"""),"陳O秀")</f>
        <v>陳O秀</v>
      </c>
      <c r="C1219" s="9" t="str">
        <f>IFERROR(__xludf.DUMMYFUNCTION("""COMPUTED_VALUE"""),"xyz*****@gmail.com")</f>
        <v>xyz*****@gmail.com</v>
      </c>
      <c r="D1219" s="9" t="str">
        <f>IFERROR(__xludf.DUMMYFUNCTION("""COMPUTED_VALUE"""),"高雄市立楠梓高級中學")</f>
        <v>高雄市立楠梓高級中學</v>
      </c>
      <c r="E1219" s="9" t="str">
        <f>IFERROR(__xludf.DUMMYFUNCTION("""COMPUTED_VALUE"""),"普通科")</f>
        <v>普通科</v>
      </c>
      <c r="F1219" s="9" t="str">
        <f>IFERROR(__xludf.DUMMYFUNCTION("""COMPUTED_VALUE"""),"一年級")</f>
        <v>一年級</v>
      </c>
      <c r="G1219" s="10" t="str">
        <f>IFERROR(__xludf.DUMMYFUNCTION("""COMPUTED_VALUE"""),"獎狀")</f>
        <v>獎狀</v>
      </c>
      <c r="H1219" s="9"/>
    </row>
    <row r="1220">
      <c r="A1220" s="5" t="s">
        <v>9</v>
      </c>
      <c r="B1220" s="9" t="str">
        <f>IFERROR(__xludf.DUMMYFUNCTION("""COMPUTED_VALUE"""),"陳O熹")</f>
        <v>陳O熹</v>
      </c>
      <c r="C1220" s="9" t="str">
        <f>IFERROR(__xludf.DUMMYFUNCTION("""COMPUTED_VALUE"""),"wei*****a@gmail.com")</f>
        <v>wei*****a@gmail.com</v>
      </c>
      <c r="D1220" s="9" t="str">
        <f>IFERROR(__xludf.DUMMYFUNCTION("""COMPUTED_VALUE"""),"高雄市立楠梓高級中學")</f>
        <v>高雄市立楠梓高級中學</v>
      </c>
      <c r="E1220" s="9" t="str">
        <f>IFERROR(__xludf.DUMMYFUNCTION("""COMPUTED_VALUE"""),"普通科")</f>
        <v>普通科</v>
      </c>
      <c r="F1220" s="9" t="str">
        <f>IFERROR(__xludf.DUMMYFUNCTION("""COMPUTED_VALUE"""),"一年級")</f>
        <v>一年級</v>
      </c>
      <c r="G1220" s="10" t="str">
        <f>IFERROR(__xludf.DUMMYFUNCTION("""COMPUTED_VALUE"""),"獎狀")</f>
        <v>獎狀</v>
      </c>
      <c r="H1220" s="9"/>
    </row>
    <row r="1221">
      <c r="A1221" s="5" t="s">
        <v>9</v>
      </c>
      <c r="B1221" s="9" t="str">
        <f>IFERROR(__xludf.DUMMYFUNCTION("""COMPUTED_VALUE"""),"康O禕")</f>
        <v>康O禕</v>
      </c>
      <c r="C1221" s="9" t="str">
        <f>IFERROR(__xludf.DUMMYFUNCTION("""COMPUTED_VALUE"""),"kan*****l@gmail.com")</f>
        <v>kan*****l@gmail.com</v>
      </c>
      <c r="D1221" s="9" t="str">
        <f>IFERROR(__xludf.DUMMYFUNCTION("""COMPUTED_VALUE"""),"高雄市立楠梓高級中學")</f>
        <v>高雄市立楠梓高級中學</v>
      </c>
      <c r="E1221" s="9" t="str">
        <f>IFERROR(__xludf.DUMMYFUNCTION("""COMPUTED_VALUE"""),"普通科")</f>
        <v>普通科</v>
      </c>
      <c r="F1221" s="9" t="str">
        <f>IFERROR(__xludf.DUMMYFUNCTION("""COMPUTED_VALUE"""),"一年級")</f>
        <v>一年級</v>
      </c>
      <c r="G1221" s="10" t="str">
        <f>IFERROR(__xludf.DUMMYFUNCTION("""COMPUTED_VALUE"""),"■商品卡$200")</f>
        <v>■商品卡$200</v>
      </c>
      <c r="H1221" s="9"/>
    </row>
    <row r="1222">
      <c r="A1222" s="5" t="s">
        <v>9</v>
      </c>
      <c r="B1222" s="9" t="str">
        <f>IFERROR(__xludf.DUMMYFUNCTION("""COMPUTED_VALUE"""),"朱O萱")</f>
        <v>朱O萱</v>
      </c>
      <c r="C1222" s="9" t="str">
        <f>IFERROR(__xludf.DUMMYFUNCTION("""COMPUTED_VALUE"""),"chu*****090423@gmail.com")</f>
        <v>chu*****090423@gmail.com</v>
      </c>
      <c r="D1222" s="9" t="str">
        <f>IFERROR(__xludf.DUMMYFUNCTION("""COMPUTED_VALUE"""),"高雄市立楠梓高級中學")</f>
        <v>高雄市立楠梓高級中學</v>
      </c>
      <c r="E1222" s="9" t="str">
        <f>IFERROR(__xludf.DUMMYFUNCTION("""COMPUTED_VALUE"""),"普通科")</f>
        <v>普通科</v>
      </c>
      <c r="F1222" s="9" t="str">
        <f>IFERROR(__xludf.DUMMYFUNCTION("""COMPUTED_VALUE"""),"一年級")</f>
        <v>一年級</v>
      </c>
      <c r="G1222" s="10" t="str">
        <f>IFERROR(__xludf.DUMMYFUNCTION("""COMPUTED_VALUE"""),"獎狀")</f>
        <v>獎狀</v>
      </c>
      <c r="H1222" s="9"/>
    </row>
    <row r="1223">
      <c r="A1223" s="5" t="s">
        <v>9</v>
      </c>
      <c r="B1223" s="9" t="str">
        <f>IFERROR(__xludf.DUMMYFUNCTION("""COMPUTED_VALUE"""),"蔡O妤")</f>
        <v>蔡O妤</v>
      </c>
      <c r="C1223" s="9" t="str">
        <f>IFERROR(__xludf.DUMMYFUNCTION("""COMPUTED_VALUE"""),"dor*****i264@gmail.com")</f>
        <v>dor*****i264@gmail.com</v>
      </c>
      <c r="D1223" s="9" t="str">
        <f>IFERROR(__xludf.DUMMYFUNCTION("""COMPUTED_VALUE"""),"高雄市立楠梓高級中學")</f>
        <v>高雄市立楠梓高級中學</v>
      </c>
      <c r="E1223" s="9" t="str">
        <f>IFERROR(__xludf.DUMMYFUNCTION("""COMPUTED_VALUE"""),"普通科")</f>
        <v>普通科</v>
      </c>
      <c r="F1223" s="9" t="str">
        <f>IFERROR(__xludf.DUMMYFUNCTION("""COMPUTED_VALUE"""),"一年級")</f>
        <v>一年級</v>
      </c>
      <c r="G1223" s="10" t="str">
        <f>IFERROR(__xludf.DUMMYFUNCTION("""COMPUTED_VALUE"""),"獎狀")</f>
        <v>獎狀</v>
      </c>
      <c r="H1223" s="9"/>
    </row>
    <row r="1224">
      <c r="A1224" s="5" t="s">
        <v>9</v>
      </c>
      <c r="B1224" s="9" t="str">
        <f>IFERROR(__xludf.DUMMYFUNCTION("""COMPUTED_VALUE"""),"藍O綺")</f>
        <v>藍O綺</v>
      </c>
      <c r="C1224" s="9" t="str">
        <f>IFERROR(__xludf.DUMMYFUNCTION("""COMPUTED_VALUE"""),"reb*****80811@gmail.com")</f>
        <v>reb*****80811@gmail.com</v>
      </c>
      <c r="D1224" s="9" t="str">
        <f>IFERROR(__xludf.DUMMYFUNCTION("""COMPUTED_VALUE"""),"高雄市立楠梓高級中學")</f>
        <v>高雄市立楠梓高級中學</v>
      </c>
      <c r="E1224" s="9" t="str">
        <f>IFERROR(__xludf.DUMMYFUNCTION("""COMPUTED_VALUE"""),"普通科")</f>
        <v>普通科</v>
      </c>
      <c r="F1224" s="9" t="str">
        <f>IFERROR(__xludf.DUMMYFUNCTION("""COMPUTED_VALUE"""),"一年級")</f>
        <v>一年級</v>
      </c>
      <c r="G1224" s="10" t="str">
        <f>IFERROR(__xludf.DUMMYFUNCTION("""COMPUTED_VALUE"""),"獎狀")</f>
        <v>獎狀</v>
      </c>
      <c r="H1224" s="9"/>
    </row>
    <row r="1225">
      <c r="A1225" s="5" t="s">
        <v>9</v>
      </c>
      <c r="B1225" s="9" t="str">
        <f>IFERROR(__xludf.DUMMYFUNCTION("""COMPUTED_VALUE"""),"朱O溱")</f>
        <v>朱O溱</v>
      </c>
      <c r="C1225" s="9" t="str">
        <f>IFERROR(__xludf.DUMMYFUNCTION("""COMPUTED_VALUE"""),"tua*****0522@gmail.com")</f>
        <v>tua*****0522@gmail.com</v>
      </c>
      <c r="D1225" s="9" t="str">
        <f>IFERROR(__xludf.DUMMYFUNCTION("""COMPUTED_VALUE"""),"高雄市立楠梓高級中學")</f>
        <v>高雄市立楠梓高級中學</v>
      </c>
      <c r="E1225" s="9" t="str">
        <f>IFERROR(__xludf.DUMMYFUNCTION("""COMPUTED_VALUE"""),"普通科")</f>
        <v>普通科</v>
      </c>
      <c r="F1225" s="9" t="str">
        <f>IFERROR(__xludf.DUMMYFUNCTION("""COMPUTED_VALUE"""),"一年級")</f>
        <v>一年級</v>
      </c>
      <c r="G1225" s="10" t="str">
        <f>IFERROR(__xludf.DUMMYFUNCTION("""COMPUTED_VALUE"""),"獎狀")</f>
        <v>獎狀</v>
      </c>
      <c r="H1225" s="9"/>
    </row>
    <row r="1226">
      <c r="A1226" s="5" t="s">
        <v>9</v>
      </c>
      <c r="B1226" s="9" t="str">
        <f>IFERROR(__xludf.DUMMYFUNCTION("""COMPUTED_VALUE"""),"蕭O宏")</f>
        <v>蕭O宏</v>
      </c>
      <c r="C1226" s="9" t="str">
        <f>IFERROR(__xludf.DUMMYFUNCTION("""COMPUTED_VALUE"""),"yuh*****ao340@gmail.com")</f>
        <v>yuh*****ao340@gmail.com</v>
      </c>
      <c r="D1226" s="9" t="str">
        <f>IFERROR(__xludf.DUMMYFUNCTION("""COMPUTED_VALUE"""),"高雄市立楠梓高級中學")</f>
        <v>高雄市立楠梓高級中學</v>
      </c>
      <c r="E1226" s="9" t="str">
        <f>IFERROR(__xludf.DUMMYFUNCTION("""COMPUTED_VALUE"""),"普通科")</f>
        <v>普通科</v>
      </c>
      <c r="F1226" s="9" t="str">
        <f>IFERROR(__xludf.DUMMYFUNCTION("""COMPUTED_VALUE"""),"一年級")</f>
        <v>一年級</v>
      </c>
      <c r="G1226" s="10" t="str">
        <f>IFERROR(__xludf.DUMMYFUNCTION("""COMPUTED_VALUE"""),"獎狀")</f>
        <v>獎狀</v>
      </c>
      <c r="H1226" s="9"/>
    </row>
    <row r="1227">
      <c r="A1227" s="5" t="s">
        <v>9</v>
      </c>
      <c r="B1227" s="9" t="str">
        <f>IFERROR(__xludf.DUMMYFUNCTION("""COMPUTED_VALUE"""),"謝O薇")</f>
        <v>謝O薇</v>
      </c>
      <c r="C1227" s="9" t="str">
        <f>IFERROR(__xludf.DUMMYFUNCTION("""COMPUTED_VALUE"""),"nth*****119@gmail.com")</f>
        <v>nth*****119@gmail.com</v>
      </c>
      <c r="D1227" s="9" t="str">
        <f>IFERROR(__xludf.DUMMYFUNCTION("""COMPUTED_VALUE"""),"高雄市立楠梓高級中學")</f>
        <v>高雄市立楠梓高級中學</v>
      </c>
      <c r="E1227" s="9" t="str">
        <f>IFERROR(__xludf.DUMMYFUNCTION("""COMPUTED_VALUE"""),"普通科")</f>
        <v>普通科</v>
      </c>
      <c r="F1227" s="9" t="str">
        <f>IFERROR(__xludf.DUMMYFUNCTION("""COMPUTED_VALUE"""),"一年級")</f>
        <v>一年級</v>
      </c>
      <c r="G1227" s="10" t="str">
        <f>IFERROR(__xludf.DUMMYFUNCTION("""COMPUTED_VALUE"""),"獎狀")</f>
        <v>獎狀</v>
      </c>
      <c r="H1227" s="9"/>
    </row>
    <row r="1228">
      <c r="A1228" s="5" t="s">
        <v>9</v>
      </c>
      <c r="B1228" s="9" t="str">
        <f>IFERROR(__xludf.DUMMYFUNCTION("""COMPUTED_VALUE"""),"張O平")</f>
        <v>張O平</v>
      </c>
      <c r="C1228" s="9" t="str">
        <f>IFERROR(__xludf.DUMMYFUNCTION("""COMPUTED_VALUE"""),"jas*****ng980108@gmail.com")</f>
        <v>jas*****ng980108@gmail.com</v>
      </c>
      <c r="D1228" s="9" t="str">
        <f>IFERROR(__xludf.DUMMYFUNCTION("""COMPUTED_VALUE"""),"高雄市立楠梓高級中學")</f>
        <v>高雄市立楠梓高級中學</v>
      </c>
      <c r="E1228" s="9" t="str">
        <f>IFERROR(__xludf.DUMMYFUNCTION("""COMPUTED_VALUE"""),"普通科")</f>
        <v>普通科</v>
      </c>
      <c r="F1228" s="9" t="str">
        <f>IFERROR(__xludf.DUMMYFUNCTION("""COMPUTED_VALUE"""),"一年級")</f>
        <v>一年級</v>
      </c>
      <c r="G1228" s="10" t="str">
        <f>IFERROR(__xludf.DUMMYFUNCTION("""COMPUTED_VALUE"""),"獎狀")</f>
        <v>獎狀</v>
      </c>
      <c r="H1228" s="9"/>
    </row>
    <row r="1229">
      <c r="A1229" s="5" t="s">
        <v>9</v>
      </c>
      <c r="B1229" s="9" t="str">
        <f>IFERROR(__xludf.DUMMYFUNCTION("""COMPUTED_VALUE"""),"洪O彤")</f>
        <v>洪O彤</v>
      </c>
      <c r="C1229" s="9" t="str">
        <f>IFERROR(__xludf.DUMMYFUNCTION("""COMPUTED_VALUE"""),"hon*****tong.921@gmail.com")</f>
        <v>hon*****tong.921@gmail.com</v>
      </c>
      <c r="D1229" s="9" t="str">
        <f>IFERROR(__xludf.DUMMYFUNCTION("""COMPUTED_VALUE"""),"高雄市立楠梓高級中學")</f>
        <v>高雄市立楠梓高級中學</v>
      </c>
      <c r="E1229" s="9" t="str">
        <f>IFERROR(__xludf.DUMMYFUNCTION("""COMPUTED_VALUE"""),"普通科")</f>
        <v>普通科</v>
      </c>
      <c r="F1229" s="9" t="str">
        <f>IFERROR(__xludf.DUMMYFUNCTION("""COMPUTED_VALUE"""),"一年級")</f>
        <v>一年級</v>
      </c>
      <c r="G1229" s="10" t="str">
        <f>IFERROR(__xludf.DUMMYFUNCTION("""COMPUTED_VALUE"""),"獎狀")</f>
        <v>獎狀</v>
      </c>
      <c r="H1229" s="9"/>
    </row>
    <row r="1230">
      <c r="A1230" s="5" t="s">
        <v>9</v>
      </c>
      <c r="B1230" s="9" t="str">
        <f>IFERROR(__xludf.DUMMYFUNCTION("""COMPUTED_VALUE"""),"楊O妃")</f>
        <v>楊O妃</v>
      </c>
      <c r="C1230" s="9" t="str">
        <f>IFERROR(__xludf.DUMMYFUNCTION("""COMPUTED_VALUE"""),"viv*****449351@gmail.com")</f>
        <v>viv*****449351@gmail.com</v>
      </c>
      <c r="D1230" s="9" t="str">
        <f>IFERROR(__xludf.DUMMYFUNCTION("""COMPUTED_VALUE"""),"高雄市立楠梓高級中學")</f>
        <v>高雄市立楠梓高級中學</v>
      </c>
      <c r="E1230" s="9" t="str">
        <f>IFERROR(__xludf.DUMMYFUNCTION("""COMPUTED_VALUE"""),"普通科")</f>
        <v>普通科</v>
      </c>
      <c r="F1230" s="9" t="str">
        <f>IFERROR(__xludf.DUMMYFUNCTION("""COMPUTED_VALUE"""),"一年級")</f>
        <v>一年級</v>
      </c>
      <c r="G1230" s="10" t="str">
        <f>IFERROR(__xludf.DUMMYFUNCTION("""COMPUTED_VALUE"""),"獎狀")</f>
        <v>獎狀</v>
      </c>
      <c r="H1230" s="9"/>
    </row>
    <row r="1231">
      <c r="A1231" s="5" t="s">
        <v>9</v>
      </c>
      <c r="B1231" s="9" t="str">
        <f>IFERROR(__xludf.DUMMYFUNCTION("""COMPUTED_VALUE"""),"蔡O宸")</f>
        <v>蔡O宸</v>
      </c>
      <c r="C1231" s="9" t="str">
        <f>IFERROR(__xludf.DUMMYFUNCTION("""COMPUTED_VALUE"""),"cai*****en125@gmail.com")</f>
        <v>cai*****en125@gmail.com</v>
      </c>
      <c r="D1231" s="9" t="str">
        <f>IFERROR(__xludf.DUMMYFUNCTION("""COMPUTED_VALUE"""),"高雄市立楠梓高級中學")</f>
        <v>高雄市立楠梓高級中學</v>
      </c>
      <c r="E1231" s="9" t="str">
        <f>IFERROR(__xludf.DUMMYFUNCTION("""COMPUTED_VALUE"""),"普通科")</f>
        <v>普通科</v>
      </c>
      <c r="F1231" s="9" t="str">
        <f>IFERROR(__xludf.DUMMYFUNCTION("""COMPUTED_VALUE"""),"一年級")</f>
        <v>一年級</v>
      </c>
      <c r="G1231" s="10" t="str">
        <f>IFERROR(__xludf.DUMMYFUNCTION("""COMPUTED_VALUE"""),"獎狀")</f>
        <v>獎狀</v>
      </c>
      <c r="H1231" s="9"/>
    </row>
    <row r="1232">
      <c r="A1232" s="5" t="s">
        <v>9</v>
      </c>
      <c r="B1232" s="9" t="str">
        <f>IFERROR(__xludf.DUMMYFUNCTION("""COMPUTED_VALUE"""),"葉O廷")</f>
        <v>葉O廷</v>
      </c>
      <c r="C1232" s="9" t="str">
        <f>IFERROR(__xludf.DUMMYFUNCTION("""COMPUTED_VALUE"""),"tin*****0@gmail.com")</f>
        <v>tin*****0@gmail.com</v>
      </c>
      <c r="D1232" s="9" t="str">
        <f>IFERROR(__xludf.DUMMYFUNCTION("""COMPUTED_VALUE"""),"高雄市立楠梓高級中學")</f>
        <v>高雄市立楠梓高級中學</v>
      </c>
      <c r="E1232" s="9" t="str">
        <f>IFERROR(__xludf.DUMMYFUNCTION("""COMPUTED_VALUE"""),"普通科")</f>
        <v>普通科</v>
      </c>
      <c r="F1232" s="9" t="str">
        <f>IFERROR(__xludf.DUMMYFUNCTION("""COMPUTED_VALUE"""),"二年級")</f>
        <v>二年級</v>
      </c>
      <c r="G1232" s="10" t="str">
        <f>IFERROR(__xludf.DUMMYFUNCTION("""COMPUTED_VALUE"""),"獎狀")</f>
        <v>獎狀</v>
      </c>
      <c r="H1232" s="9"/>
    </row>
    <row r="1233">
      <c r="A1233" s="5" t="s">
        <v>9</v>
      </c>
      <c r="B1233" s="9" t="str">
        <f>IFERROR(__xludf.DUMMYFUNCTION("""COMPUTED_VALUE"""),"黃O溏")</f>
        <v>黃O溏</v>
      </c>
      <c r="C1233" s="9" t="str">
        <f>IFERROR(__xludf.DUMMYFUNCTION("""COMPUTED_VALUE"""),"gt0*****8@gmail.com")</f>
        <v>gt0*****8@gmail.com</v>
      </c>
      <c r="D1233" s="9" t="str">
        <f>IFERROR(__xludf.DUMMYFUNCTION("""COMPUTED_VALUE"""),"高雄市立楠梓高級中學")</f>
        <v>高雄市立楠梓高級中學</v>
      </c>
      <c r="E1233" s="9" t="str">
        <f>IFERROR(__xludf.DUMMYFUNCTION("""COMPUTED_VALUE"""),"普通科")</f>
        <v>普通科</v>
      </c>
      <c r="F1233" s="9" t="str">
        <f>IFERROR(__xludf.DUMMYFUNCTION("""COMPUTED_VALUE"""),"二年級")</f>
        <v>二年級</v>
      </c>
      <c r="G1233" s="10" t="str">
        <f>IFERROR(__xludf.DUMMYFUNCTION("""COMPUTED_VALUE"""),"獎狀")</f>
        <v>獎狀</v>
      </c>
      <c r="H1233" s="9"/>
    </row>
    <row r="1234">
      <c r="A1234" s="5" t="s">
        <v>9</v>
      </c>
      <c r="B1234" s="9" t="str">
        <f>IFERROR(__xludf.DUMMYFUNCTION("""COMPUTED_VALUE"""),"許O欣")</f>
        <v>許O欣</v>
      </c>
      <c r="C1234" s="9" t="str">
        <f>IFERROR(__xludf.DUMMYFUNCTION("""COMPUTED_VALUE"""),"asu*****ne02@gmail.com")</f>
        <v>asu*****ne02@gmail.com</v>
      </c>
      <c r="D1234" s="9" t="str">
        <f>IFERROR(__xludf.DUMMYFUNCTION("""COMPUTED_VALUE"""),"高雄市立楠梓高級中學")</f>
        <v>高雄市立楠梓高級中學</v>
      </c>
      <c r="E1234" s="9" t="str">
        <f>IFERROR(__xludf.DUMMYFUNCTION("""COMPUTED_VALUE"""),"普通科")</f>
        <v>普通科</v>
      </c>
      <c r="F1234" s="9" t="str">
        <f>IFERROR(__xludf.DUMMYFUNCTION("""COMPUTED_VALUE"""),"二年級")</f>
        <v>二年級</v>
      </c>
      <c r="G1234" s="10" t="str">
        <f>IFERROR(__xludf.DUMMYFUNCTION("""COMPUTED_VALUE"""),"獎狀")</f>
        <v>獎狀</v>
      </c>
      <c r="H1234" s="9"/>
    </row>
    <row r="1235">
      <c r="A1235" s="5" t="s">
        <v>9</v>
      </c>
      <c r="B1235" s="9" t="str">
        <f>IFERROR(__xludf.DUMMYFUNCTION("""COMPUTED_VALUE"""),"楊O瑜")</f>
        <v>楊O瑜</v>
      </c>
      <c r="C1235" s="9" t="str">
        <f>IFERROR(__xludf.DUMMYFUNCTION("""COMPUTED_VALUE"""),"mr5*****mail.com")</f>
        <v>mr5*****mail.com</v>
      </c>
      <c r="D1235" s="9" t="str">
        <f>IFERROR(__xludf.DUMMYFUNCTION("""COMPUTED_VALUE"""),"高雄市立楠梓高級中學")</f>
        <v>高雄市立楠梓高級中學</v>
      </c>
      <c r="E1235" s="9" t="str">
        <f>IFERROR(__xludf.DUMMYFUNCTION("""COMPUTED_VALUE"""),"普通科")</f>
        <v>普通科</v>
      </c>
      <c r="F1235" s="9" t="str">
        <f>IFERROR(__xludf.DUMMYFUNCTION("""COMPUTED_VALUE"""),"二年級")</f>
        <v>二年級</v>
      </c>
      <c r="G1235" s="10" t="str">
        <f>IFERROR(__xludf.DUMMYFUNCTION("""COMPUTED_VALUE"""),"獎狀")</f>
        <v>獎狀</v>
      </c>
      <c r="H1235" s="9"/>
    </row>
    <row r="1236">
      <c r="A1236" s="5" t="s">
        <v>9</v>
      </c>
      <c r="B1236" s="9" t="str">
        <f>IFERROR(__xludf.DUMMYFUNCTION("""COMPUTED_VALUE"""),"潘O希")</f>
        <v>潘O希</v>
      </c>
      <c r="C1236" s="9" t="str">
        <f>IFERROR(__xludf.DUMMYFUNCTION("""COMPUTED_VALUE"""),"s20*****go.edu.tw")</f>
        <v>s20*****go.edu.tw</v>
      </c>
      <c r="D1236" s="9" t="str">
        <f>IFERROR(__xludf.DUMMYFUNCTION("""COMPUTED_VALUE"""),"高雄市立楠梓高級中學")</f>
        <v>高雄市立楠梓高級中學</v>
      </c>
      <c r="E1236" s="9" t="str">
        <f>IFERROR(__xludf.DUMMYFUNCTION("""COMPUTED_VALUE"""),"普通科")</f>
        <v>普通科</v>
      </c>
      <c r="F1236" s="9" t="str">
        <f>IFERROR(__xludf.DUMMYFUNCTION("""COMPUTED_VALUE"""),"二年級")</f>
        <v>二年級</v>
      </c>
      <c r="G1236" s="10" t="str">
        <f>IFERROR(__xludf.DUMMYFUNCTION("""COMPUTED_VALUE"""),"獎狀")</f>
        <v>獎狀</v>
      </c>
      <c r="H1236" s="11"/>
    </row>
    <row r="1237">
      <c r="A1237" s="5" t="s">
        <v>9</v>
      </c>
      <c r="B1237" s="9" t="str">
        <f>IFERROR(__xludf.DUMMYFUNCTION("""COMPUTED_VALUE"""),"曾O樺")</f>
        <v>曾O樺</v>
      </c>
      <c r="C1237" s="9" t="str">
        <f>IFERROR(__xludf.DUMMYFUNCTION("""COMPUTED_VALUE"""),"hjb*****h@mail.edu.tw")</f>
        <v>hjb*****h@mail.edu.tw</v>
      </c>
      <c r="D1237" s="9" t="str">
        <f>IFERROR(__xludf.DUMMYFUNCTION("""COMPUTED_VALUE"""),"高雄市立新莊高級中學")</f>
        <v>高雄市立新莊高級中學</v>
      </c>
      <c r="E1237" s="9" t="str">
        <f>IFERROR(__xludf.DUMMYFUNCTION("""COMPUTED_VALUE"""),"普通科")</f>
        <v>普通科</v>
      </c>
      <c r="F1237" s="9" t="str">
        <f>IFERROR(__xludf.DUMMYFUNCTION("""COMPUTED_VALUE"""),"二年級")</f>
        <v>二年級</v>
      </c>
      <c r="G1237" s="10" t="str">
        <f>IFERROR(__xludf.DUMMYFUNCTION("""COMPUTED_VALUE"""),"獎狀")</f>
        <v>獎狀</v>
      </c>
      <c r="H1237" s="11"/>
    </row>
    <row r="1238">
      <c r="A1238" s="5" t="s">
        <v>9</v>
      </c>
      <c r="B1238" s="9" t="str">
        <f>IFERROR(__xludf.DUMMYFUNCTION("""COMPUTED_VALUE"""),"馮O哲")</f>
        <v>馮O哲</v>
      </c>
      <c r="C1238" s="9" t="str">
        <f>IFERROR(__xludf.DUMMYFUNCTION("""COMPUTED_VALUE"""),"wli*****58@mail.edu.tw")</f>
        <v>wli*****58@mail.edu.tw</v>
      </c>
      <c r="D1238" s="9" t="str">
        <f>IFERROR(__xludf.DUMMYFUNCTION("""COMPUTED_VALUE"""),"高雄市立左營高級中學")</f>
        <v>高雄市立左營高級中學</v>
      </c>
      <c r="E1238" s="9" t="str">
        <f>IFERROR(__xludf.DUMMYFUNCTION("""COMPUTED_VALUE"""),"普通科")</f>
        <v>普通科</v>
      </c>
      <c r="F1238" s="9" t="str">
        <f>IFERROR(__xludf.DUMMYFUNCTION("""COMPUTED_VALUE"""),"一年級")</f>
        <v>一年級</v>
      </c>
      <c r="G1238" s="10" t="str">
        <f>IFERROR(__xludf.DUMMYFUNCTION("""COMPUTED_VALUE"""),"○商品卡$500")</f>
        <v>○商品卡$500</v>
      </c>
      <c r="H1238" s="9"/>
    </row>
    <row r="1239">
      <c r="A1239" s="5" t="s">
        <v>9</v>
      </c>
      <c r="B1239" s="9" t="str">
        <f>IFERROR(__xludf.DUMMYFUNCTION("""COMPUTED_VALUE"""),"蘇O蘋")</f>
        <v>蘇O蘋</v>
      </c>
      <c r="C1239" s="9" t="str">
        <f>IFERROR(__xludf.DUMMYFUNCTION("""COMPUTED_VALUE"""),"stu*****4@kssh.khc.edu.tw")</f>
        <v>stu*****4@kssh.khc.edu.tw</v>
      </c>
      <c r="D1239" s="9" t="str">
        <f>IFERROR(__xludf.DUMMYFUNCTION("""COMPUTED_VALUE"""),"國立岡山高級中學")</f>
        <v>國立岡山高級中學</v>
      </c>
      <c r="E1239" s="9" t="str">
        <f>IFERROR(__xludf.DUMMYFUNCTION("""COMPUTED_VALUE"""),"普通科")</f>
        <v>普通科</v>
      </c>
      <c r="F1239" s="9" t="str">
        <f>IFERROR(__xludf.DUMMYFUNCTION("""COMPUTED_VALUE"""),"二年級")</f>
        <v>二年級</v>
      </c>
      <c r="G1239" s="10" t="str">
        <f>IFERROR(__xludf.DUMMYFUNCTION("""COMPUTED_VALUE"""),"獎狀")</f>
        <v>獎狀</v>
      </c>
      <c r="H1239" s="9"/>
    </row>
    <row r="1240">
      <c r="A1240" s="5" t="s">
        <v>9</v>
      </c>
      <c r="B1240" s="9" t="str">
        <f>IFERROR(__xludf.DUMMYFUNCTION("""COMPUTED_VALUE"""),"廖O姍")</f>
        <v>廖O姍</v>
      </c>
      <c r="C1240" s="9" t="str">
        <f>IFERROR(__xludf.DUMMYFUNCTION("""COMPUTED_VALUE"""),"stu*****1@kssh.khc.edu.tw")</f>
        <v>stu*****1@kssh.khc.edu.tw</v>
      </c>
      <c r="D1240" s="9" t="str">
        <f>IFERROR(__xludf.DUMMYFUNCTION("""COMPUTED_VALUE"""),"國立岡山高級中學")</f>
        <v>國立岡山高級中學</v>
      </c>
      <c r="E1240" s="9" t="str">
        <f>IFERROR(__xludf.DUMMYFUNCTION("""COMPUTED_VALUE"""),"普通科")</f>
        <v>普通科</v>
      </c>
      <c r="F1240" s="9" t="str">
        <f>IFERROR(__xludf.DUMMYFUNCTION("""COMPUTED_VALUE"""),"三年級")</f>
        <v>三年級</v>
      </c>
      <c r="G1240" s="10" t="str">
        <f>IFERROR(__xludf.DUMMYFUNCTION("""COMPUTED_VALUE"""),"獎狀")</f>
        <v>獎狀</v>
      </c>
      <c r="H1240" s="9"/>
    </row>
    <row r="1241">
      <c r="A1241" s="5" t="s">
        <v>9</v>
      </c>
      <c r="B1241" s="9" t="str">
        <f>IFERROR(__xludf.DUMMYFUNCTION("""COMPUTED_VALUE"""),"謝O純")</f>
        <v>謝O純</v>
      </c>
      <c r="C1241" s="9" t="str">
        <f>IFERROR(__xludf.DUMMYFUNCTION("""COMPUTED_VALUE"""),"a09*****281@gmail.com")</f>
        <v>a09*****281@gmail.com</v>
      </c>
      <c r="D1241" s="9" t="str">
        <f>IFERROR(__xludf.DUMMYFUNCTION("""COMPUTED_VALUE"""),"高雄市私立正義高級中學")</f>
        <v>高雄市私立正義高級中學</v>
      </c>
      <c r="E1241" s="9" t="str">
        <f>IFERROR(__xludf.DUMMYFUNCTION("""COMPUTED_VALUE"""),"普通科")</f>
        <v>普通科</v>
      </c>
      <c r="F1241" s="9" t="str">
        <f>IFERROR(__xludf.DUMMYFUNCTION("""COMPUTED_VALUE"""),"一年級")</f>
        <v>一年級</v>
      </c>
      <c r="G1241" s="10" t="str">
        <f>IFERROR(__xludf.DUMMYFUNCTION("""COMPUTED_VALUE"""),"獎狀")</f>
        <v>獎狀</v>
      </c>
      <c r="H1241" s="9"/>
    </row>
    <row r="1242">
      <c r="A1242" s="5" t="s">
        <v>9</v>
      </c>
      <c r="B1242" s="9" t="str">
        <f>IFERROR(__xludf.DUMMYFUNCTION("""COMPUTED_VALUE"""),"吳O蓁")</f>
        <v>吳O蓁</v>
      </c>
      <c r="C1242" s="9" t="str">
        <f>IFERROR(__xludf.DUMMYFUNCTION("""COMPUTED_VALUE"""),"emm*****0508@gmail.com")</f>
        <v>emm*****0508@gmail.com</v>
      </c>
      <c r="D1242" s="9" t="str">
        <f>IFERROR(__xludf.DUMMYFUNCTION("""COMPUTED_VALUE"""),"高雄市私立正義高級中學")</f>
        <v>高雄市私立正義高級中學</v>
      </c>
      <c r="E1242" s="9" t="str">
        <f>IFERROR(__xludf.DUMMYFUNCTION("""COMPUTED_VALUE"""),"普通科")</f>
        <v>普通科</v>
      </c>
      <c r="F1242" s="9" t="str">
        <f>IFERROR(__xludf.DUMMYFUNCTION("""COMPUTED_VALUE"""),"一年級")</f>
        <v>一年級</v>
      </c>
      <c r="G1242" s="10" t="str">
        <f>IFERROR(__xludf.DUMMYFUNCTION("""COMPUTED_VALUE"""),"★商品卡$1000")</f>
        <v>★商品卡$1000</v>
      </c>
      <c r="H1242" s="9"/>
    </row>
    <row r="1243">
      <c r="A1243" s="5" t="s">
        <v>9</v>
      </c>
      <c r="B1243" s="9" t="str">
        <f>IFERROR(__xludf.DUMMYFUNCTION("""COMPUTED_VALUE"""),"黃O銨")</f>
        <v>黃O銨</v>
      </c>
      <c r="C1243" s="9" t="str">
        <f>IFERROR(__xludf.DUMMYFUNCTION("""COMPUTED_VALUE"""),"102*****cysh.khc.edu.tw")</f>
        <v>102*****cysh.khc.edu.tw</v>
      </c>
      <c r="D1243" s="9" t="str">
        <f>IFERROR(__xludf.DUMMYFUNCTION("""COMPUTED_VALUE"""),"高雄市私立正義高級中學")</f>
        <v>高雄市私立正義高級中學</v>
      </c>
      <c r="E1243" s="9" t="str">
        <f>IFERROR(__xludf.DUMMYFUNCTION("""COMPUTED_VALUE"""),"普通科")</f>
        <v>普通科</v>
      </c>
      <c r="F1243" s="9" t="str">
        <f>IFERROR(__xludf.DUMMYFUNCTION("""COMPUTED_VALUE"""),"一年級")</f>
        <v>一年級</v>
      </c>
      <c r="G1243" s="10" t="str">
        <f>IFERROR(__xludf.DUMMYFUNCTION("""COMPUTED_VALUE"""),"■商品卡$200")</f>
        <v>■商品卡$200</v>
      </c>
      <c r="H1243" s="9"/>
    </row>
    <row r="1244">
      <c r="A1244" s="5" t="s">
        <v>9</v>
      </c>
      <c r="B1244" s="9" t="str">
        <f>IFERROR(__xludf.DUMMYFUNCTION("""COMPUTED_VALUE"""),"李O")</f>
        <v>李O</v>
      </c>
      <c r="C1244" s="9" t="str">
        <f>IFERROR(__xludf.DUMMYFUNCTION("""COMPUTED_VALUE"""),"chi*****20081112@gmail.com")</f>
        <v>chi*****20081112@gmail.com</v>
      </c>
      <c r="D1244" s="9" t="str">
        <f>IFERROR(__xludf.DUMMYFUNCTION("""COMPUTED_VALUE"""),"高雄市私立正義高級中學")</f>
        <v>高雄市私立正義高級中學</v>
      </c>
      <c r="E1244" s="9" t="str">
        <f>IFERROR(__xludf.DUMMYFUNCTION("""COMPUTED_VALUE"""),"普通科")</f>
        <v>普通科</v>
      </c>
      <c r="F1244" s="9" t="str">
        <f>IFERROR(__xludf.DUMMYFUNCTION("""COMPUTED_VALUE"""),"一年級")</f>
        <v>一年級</v>
      </c>
      <c r="G1244" s="10" t="str">
        <f>IFERROR(__xludf.DUMMYFUNCTION("""COMPUTED_VALUE"""),"獎狀")</f>
        <v>獎狀</v>
      </c>
      <c r="H1244" s="9"/>
    </row>
    <row r="1245">
      <c r="A1245" s="5" t="s">
        <v>9</v>
      </c>
      <c r="B1245" s="9" t="str">
        <f>IFERROR(__xludf.DUMMYFUNCTION("""COMPUTED_VALUE"""),"張O薰")</f>
        <v>張O薰</v>
      </c>
      <c r="C1245" s="9" t="str">
        <f>IFERROR(__xludf.DUMMYFUNCTION("""COMPUTED_VALUE"""),"ssy*****6171@gmail.com")</f>
        <v>ssy*****6171@gmail.com</v>
      </c>
      <c r="D1245" s="9" t="str">
        <f>IFERROR(__xludf.DUMMYFUNCTION("""COMPUTED_VALUE"""),"高雄市私立正義高級中學")</f>
        <v>高雄市私立正義高級中學</v>
      </c>
      <c r="E1245" s="9" t="str">
        <f>IFERROR(__xludf.DUMMYFUNCTION("""COMPUTED_VALUE"""),"普通科")</f>
        <v>普通科</v>
      </c>
      <c r="F1245" s="9" t="str">
        <f>IFERROR(__xludf.DUMMYFUNCTION("""COMPUTED_VALUE"""),"一年級")</f>
        <v>一年級</v>
      </c>
      <c r="G1245" s="10" t="str">
        <f>IFERROR(__xludf.DUMMYFUNCTION("""COMPUTED_VALUE"""),"獎狀")</f>
        <v>獎狀</v>
      </c>
      <c r="H1245" s="9"/>
    </row>
    <row r="1246">
      <c r="A1246" s="5" t="s">
        <v>9</v>
      </c>
      <c r="B1246" s="9" t="str">
        <f>IFERROR(__xludf.DUMMYFUNCTION("""COMPUTED_VALUE"""),"張O宸")</f>
        <v>張O宸</v>
      </c>
      <c r="C1246" s="9" t="str">
        <f>IFERROR(__xludf.DUMMYFUNCTION("""COMPUTED_VALUE"""),"min*****g125@gmail.com")</f>
        <v>min*****g125@gmail.com</v>
      </c>
      <c r="D1246" s="9" t="str">
        <f>IFERROR(__xludf.DUMMYFUNCTION("""COMPUTED_VALUE"""),"高雄市私立正義高級中學")</f>
        <v>高雄市私立正義高級中學</v>
      </c>
      <c r="E1246" s="9" t="str">
        <f>IFERROR(__xludf.DUMMYFUNCTION("""COMPUTED_VALUE"""),"普通科")</f>
        <v>普通科</v>
      </c>
      <c r="F1246" s="9" t="str">
        <f>IFERROR(__xludf.DUMMYFUNCTION("""COMPUTED_VALUE"""),"一年級")</f>
        <v>一年級</v>
      </c>
      <c r="G1246" s="10" t="str">
        <f>IFERROR(__xludf.DUMMYFUNCTION("""COMPUTED_VALUE"""),"■商品卡$200")</f>
        <v>■商品卡$200</v>
      </c>
      <c r="H1246" s="9"/>
    </row>
    <row r="1247">
      <c r="A1247" s="5" t="s">
        <v>9</v>
      </c>
      <c r="B1247" s="9" t="str">
        <f>IFERROR(__xludf.DUMMYFUNCTION("""COMPUTED_VALUE"""),"陳O慧")</f>
        <v>陳O慧</v>
      </c>
      <c r="C1247" s="9" t="str">
        <f>IFERROR(__xludf.DUMMYFUNCTION("""COMPUTED_VALUE"""),"wis*****72@gmail.com")</f>
        <v>wis*****72@gmail.com</v>
      </c>
      <c r="D1247" s="9" t="str">
        <f>IFERROR(__xludf.DUMMYFUNCTION("""COMPUTED_VALUE"""),"高雄市私立正義高級中學")</f>
        <v>高雄市私立正義高級中學</v>
      </c>
      <c r="E1247" s="9" t="str">
        <f>IFERROR(__xludf.DUMMYFUNCTION("""COMPUTED_VALUE"""),"普通科")</f>
        <v>普通科</v>
      </c>
      <c r="F1247" s="9" t="str">
        <f>IFERROR(__xludf.DUMMYFUNCTION("""COMPUTED_VALUE"""),"一年級")</f>
        <v>一年級</v>
      </c>
      <c r="G1247" s="10" t="str">
        <f>IFERROR(__xludf.DUMMYFUNCTION("""COMPUTED_VALUE"""),"獎狀")</f>
        <v>獎狀</v>
      </c>
      <c r="H1247" s="9"/>
    </row>
    <row r="1248">
      <c r="A1248" s="5" t="s">
        <v>9</v>
      </c>
      <c r="B1248" s="9" t="str">
        <f>IFERROR(__xludf.DUMMYFUNCTION("""COMPUTED_VALUE"""),"林O銨")</f>
        <v>林O銨</v>
      </c>
      <c r="C1248" s="9" t="str">
        <f>IFERROR(__xludf.DUMMYFUNCTION("""COMPUTED_VALUE"""),"lji*****3@gmail.com")</f>
        <v>lji*****3@gmail.com</v>
      </c>
      <c r="D1248" s="9" t="str">
        <f>IFERROR(__xludf.DUMMYFUNCTION("""COMPUTED_VALUE"""),"高雄市私立正義高級中學")</f>
        <v>高雄市私立正義高級中學</v>
      </c>
      <c r="E1248" s="9" t="str">
        <f>IFERROR(__xludf.DUMMYFUNCTION("""COMPUTED_VALUE"""),"普通科")</f>
        <v>普通科</v>
      </c>
      <c r="F1248" s="9" t="str">
        <f>IFERROR(__xludf.DUMMYFUNCTION("""COMPUTED_VALUE"""),"一年級")</f>
        <v>一年級</v>
      </c>
      <c r="G1248" s="10" t="str">
        <f>IFERROR(__xludf.DUMMYFUNCTION("""COMPUTED_VALUE"""),"獎狀")</f>
        <v>獎狀</v>
      </c>
      <c r="H1248" s="9"/>
    </row>
    <row r="1249">
      <c r="A1249" s="5" t="s">
        <v>9</v>
      </c>
      <c r="B1249" s="9" t="str">
        <f>IFERROR(__xludf.DUMMYFUNCTION("""COMPUTED_VALUE"""),"黃O晴")</f>
        <v>黃O晴</v>
      </c>
      <c r="C1249" s="9" t="str">
        <f>IFERROR(__xludf.DUMMYFUNCTION("""COMPUTED_VALUE"""),"hen*****0811@gmail.com")</f>
        <v>hen*****0811@gmail.com</v>
      </c>
      <c r="D1249" s="9" t="str">
        <f>IFERROR(__xludf.DUMMYFUNCTION("""COMPUTED_VALUE"""),"高雄市私立正義高級中學")</f>
        <v>高雄市私立正義高級中學</v>
      </c>
      <c r="E1249" s="9" t="str">
        <f>IFERROR(__xludf.DUMMYFUNCTION("""COMPUTED_VALUE"""),"普通科")</f>
        <v>普通科</v>
      </c>
      <c r="F1249" s="9" t="str">
        <f>IFERROR(__xludf.DUMMYFUNCTION("""COMPUTED_VALUE"""),"一年級")</f>
        <v>一年級</v>
      </c>
      <c r="G1249" s="10" t="str">
        <f>IFERROR(__xludf.DUMMYFUNCTION("""COMPUTED_VALUE"""),"獎狀")</f>
        <v>獎狀</v>
      </c>
      <c r="H1249" s="9"/>
    </row>
    <row r="1250">
      <c r="A1250" s="5" t="s">
        <v>9</v>
      </c>
      <c r="B1250" s="9" t="str">
        <f>IFERROR(__xludf.DUMMYFUNCTION("""COMPUTED_VALUE"""),"吳O璇")</f>
        <v>吳O璇</v>
      </c>
      <c r="C1250" s="9" t="str">
        <f>IFERROR(__xludf.DUMMYFUNCTION("""COMPUTED_VALUE"""),"310*****ysh.khc.edu.tw")</f>
        <v>310*****ysh.khc.edu.tw</v>
      </c>
      <c r="D1250" s="9" t="str">
        <f>IFERROR(__xludf.DUMMYFUNCTION("""COMPUTED_VALUE"""),"高雄市私立正義高級中學")</f>
        <v>高雄市私立正義高級中學</v>
      </c>
      <c r="E1250" s="9" t="str">
        <f>IFERROR(__xludf.DUMMYFUNCTION("""COMPUTED_VALUE"""),"普通科")</f>
        <v>普通科</v>
      </c>
      <c r="F1250" s="9" t="str">
        <f>IFERROR(__xludf.DUMMYFUNCTION("""COMPUTED_VALUE"""),"一年級")</f>
        <v>一年級</v>
      </c>
      <c r="G1250" s="10" t="str">
        <f>IFERROR(__xludf.DUMMYFUNCTION("""COMPUTED_VALUE"""),"獎狀")</f>
        <v>獎狀</v>
      </c>
      <c r="H1250" s="9"/>
    </row>
    <row r="1251">
      <c r="A1251" s="5" t="s">
        <v>9</v>
      </c>
      <c r="B1251" s="9" t="str">
        <f>IFERROR(__xludf.DUMMYFUNCTION("""COMPUTED_VALUE"""),"簡O蓁")</f>
        <v>簡O蓁</v>
      </c>
      <c r="C1251" s="9" t="str">
        <f>IFERROR(__xludf.DUMMYFUNCTION("""COMPUTED_VALUE"""),"310*****ysh.khc.edu.tw")</f>
        <v>310*****ysh.khc.edu.tw</v>
      </c>
      <c r="D1251" s="9" t="str">
        <f>IFERROR(__xludf.DUMMYFUNCTION("""COMPUTED_VALUE"""),"高雄市私立正義高級中學")</f>
        <v>高雄市私立正義高級中學</v>
      </c>
      <c r="E1251" s="9" t="str">
        <f>IFERROR(__xludf.DUMMYFUNCTION("""COMPUTED_VALUE"""),"普通科")</f>
        <v>普通科</v>
      </c>
      <c r="F1251" s="9" t="str">
        <f>IFERROR(__xludf.DUMMYFUNCTION("""COMPUTED_VALUE"""),"一年級")</f>
        <v>一年級</v>
      </c>
      <c r="G1251" s="10" t="str">
        <f>IFERROR(__xludf.DUMMYFUNCTION("""COMPUTED_VALUE"""),"獎狀")</f>
        <v>獎狀</v>
      </c>
      <c r="H1251" s="9"/>
    </row>
    <row r="1252">
      <c r="A1252" s="5" t="s">
        <v>9</v>
      </c>
      <c r="B1252" s="9" t="str">
        <f>IFERROR(__xludf.DUMMYFUNCTION("""COMPUTED_VALUE"""),"黃O寬")</f>
        <v>黃O寬</v>
      </c>
      <c r="C1252" s="9" t="str">
        <f>IFERROR(__xludf.DUMMYFUNCTION("""COMPUTED_VALUE"""),"210*****ysh.khc.edu.tw")</f>
        <v>210*****ysh.khc.edu.tw</v>
      </c>
      <c r="D1252" s="9" t="str">
        <f>IFERROR(__xludf.DUMMYFUNCTION("""COMPUTED_VALUE"""),"高雄市私立正義高級中學")</f>
        <v>高雄市私立正義高級中學</v>
      </c>
      <c r="E1252" s="9" t="str">
        <f>IFERROR(__xludf.DUMMYFUNCTION("""COMPUTED_VALUE"""),"普通科")</f>
        <v>普通科</v>
      </c>
      <c r="F1252" s="9" t="str">
        <f>IFERROR(__xludf.DUMMYFUNCTION("""COMPUTED_VALUE"""),"三年級")</f>
        <v>三年級</v>
      </c>
      <c r="G1252" s="10" t="str">
        <f>IFERROR(__xludf.DUMMYFUNCTION("""COMPUTED_VALUE"""),"獎狀")</f>
        <v>獎狀</v>
      </c>
      <c r="H1252" s="9"/>
    </row>
    <row r="1253">
      <c r="A1253" s="5" t="s">
        <v>9</v>
      </c>
      <c r="B1253" s="9" t="str">
        <f>IFERROR(__xludf.DUMMYFUNCTION("""COMPUTED_VALUE"""),"李O亭")</f>
        <v>李O亭</v>
      </c>
      <c r="C1253" s="9" t="str">
        <f>IFERROR(__xludf.DUMMYFUNCTION("""COMPUTED_VALUE"""),"210*****ysh.khc.edu.tw")</f>
        <v>210*****ysh.khc.edu.tw</v>
      </c>
      <c r="D1253" s="9" t="str">
        <f>IFERROR(__xludf.DUMMYFUNCTION("""COMPUTED_VALUE"""),"高雄市私立正義高級中學")</f>
        <v>高雄市私立正義高級中學</v>
      </c>
      <c r="E1253" s="9" t="str">
        <f>IFERROR(__xludf.DUMMYFUNCTION("""COMPUTED_VALUE"""),"普通科")</f>
        <v>普通科</v>
      </c>
      <c r="F1253" s="9" t="str">
        <f>IFERROR(__xludf.DUMMYFUNCTION("""COMPUTED_VALUE"""),"三年級")</f>
        <v>三年級</v>
      </c>
      <c r="G1253" s="10" t="str">
        <f>IFERROR(__xludf.DUMMYFUNCTION("""COMPUTED_VALUE"""),"獎狀")</f>
        <v>獎狀</v>
      </c>
      <c r="H1253" s="9"/>
    </row>
    <row r="1254">
      <c r="A1254" s="5" t="s">
        <v>9</v>
      </c>
      <c r="B1254" s="9" t="str">
        <f>IFERROR(__xludf.DUMMYFUNCTION("""COMPUTED_VALUE"""),"林O芫")</f>
        <v>林O芫</v>
      </c>
      <c r="C1254" s="9" t="str">
        <f>IFERROR(__xludf.DUMMYFUNCTION("""COMPUTED_VALUE"""),"311*****s6.pmsh.khc.edu.tw")</f>
        <v>311*****s6.pmsh.khc.edu.tw</v>
      </c>
      <c r="D1254" s="9" t="str">
        <f>IFERROR(__xludf.DUMMYFUNCTION("""COMPUTED_VALUE"""),"佛光山學校財團法人高雄市普門高級中學")</f>
        <v>佛光山學校財團法人高雄市普門高級中學</v>
      </c>
      <c r="E1254" s="9" t="str">
        <f>IFERROR(__xludf.DUMMYFUNCTION("""COMPUTED_VALUE"""),"普通科")</f>
        <v>普通科</v>
      </c>
      <c r="F1254" s="9" t="str">
        <f>IFERROR(__xludf.DUMMYFUNCTION("""COMPUTED_VALUE"""),"二年級")</f>
        <v>二年級</v>
      </c>
      <c r="G1254" s="10" t="str">
        <f>IFERROR(__xludf.DUMMYFUNCTION("""COMPUTED_VALUE"""),"★商品卡$1000")</f>
        <v>★商品卡$1000</v>
      </c>
      <c r="H1254" s="9"/>
    </row>
    <row r="1255">
      <c r="A1255" s="5" t="s">
        <v>9</v>
      </c>
      <c r="B1255" s="9" t="str">
        <f>IFERROR(__xludf.DUMMYFUNCTION("""COMPUTED_VALUE"""),"蔡O穎")</f>
        <v>蔡O穎</v>
      </c>
      <c r="C1255" s="9" t="str">
        <f>IFERROR(__xludf.DUMMYFUNCTION("""COMPUTED_VALUE"""),"311*****s6.pmsh.khc.edu.tw")</f>
        <v>311*****s6.pmsh.khc.edu.tw</v>
      </c>
      <c r="D1255" s="9" t="str">
        <f>IFERROR(__xludf.DUMMYFUNCTION("""COMPUTED_VALUE"""),"佛光山學校財團法人高雄市普門高級中學")</f>
        <v>佛光山學校財團法人高雄市普門高級中學</v>
      </c>
      <c r="E1255" s="9" t="str">
        <f>IFERROR(__xludf.DUMMYFUNCTION("""COMPUTED_VALUE"""),"普通科")</f>
        <v>普通科</v>
      </c>
      <c r="F1255" s="9" t="str">
        <f>IFERROR(__xludf.DUMMYFUNCTION("""COMPUTED_VALUE"""),"二年級")</f>
        <v>二年級</v>
      </c>
      <c r="G1255" s="10" t="str">
        <f>IFERROR(__xludf.DUMMYFUNCTION("""COMPUTED_VALUE"""),"獎狀")</f>
        <v>獎狀</v>
      </c>
      <c r="H1255" s="9"/>
    </row>
    <row r="1256">
      <c r="A1256" s="5" t="s">
        <v>9</v>
      </c>
      <c r="B1256" s="9" t="str">
        <f>IFERROR(__xludf.DUMMYFUNCTION("""COMPUTED_VALUE"""),"邱O媗")</f>
        <v>邱O媗</v>
      </c>
      <c r="C1256" s="9" t="str">
        <f>IFERROR(__xludf.DUMMYFUNCTION("""COMPUTED_VALUE"""),"311*****s6.pmsh.khc.edu.tw")</f>
        <v>311*****s6.pmsh.khc.edu.tw</v>
      </c>
      <c r="D1256" s="9" t="str">
        <f>IFERROR(__xludf.DUMMYFUNCTION("""COMPUTED_VALUE"""),"佛光山學校財團法人高雄市普門高級中學")</f>
        <v>佛光山學校財團法人高雄市普門高級中學</v>
      </c>
      <c r="E1256" s="9" t="str">
        <f>IFERROR(__xludf.DUMMYFUNCTION("""COMPUTED_VALUE"""),"普通科")</f>
        <v>普通科</v>
      </c>
      <c r="F1256" s="9" t="str">
        <f>IFERROR(__xludf.DUMMYFUNCTION("""COMPUTED_VALUE"""),"二年級")</f>
        <v>二年級</v>
      </c>
      <c r="G1256" s="10" t="str">
        <f>IFERROR(__xludf.DUMMYFUNCTION("""COMPUTED_VALUE"""),"獎狀")</f>
        <v>獎狀</v>
      </c>
      <c r="H1256" s="9"/>
    </row>
    <row r="1257">
      <c r="A1257" s="5" t="s">
        <v>9</v>
      </c>
      <c r="B1257" s="9" t="str">
        <f>IFERROR(__xludf.DUMMYFUNCTION("""COMPUTED_VALUE"""),"周O伶")</f>
        <v>周O伶</v>
      </c>
      <c r="C1257" s="9" t="str">
        <f>IFERROR(__xludf.DUMMYFUNCTION("""COMPUTED_VALUE"""),"311*****s6.pmsh.khc.edu.tw")</f>
        <v>311*****s6.pmsh.khc.edu.tw</v>
      </c>
      <c r="D1257" s="9" t="str">
        <f>IFERROR(__xludf.DUMMYFUNCTION("""COMPUTED_VALUE"""),"佛光山學校財團法人高雄市普門高級中學")</f>
        <v>佛光山學校財團法人高雄市普門高級中學</v>
      </c>
      <c r="E1257" s="9" t="str">
        <f>IFERROR(__xludf.DUMMYFUNCTION("""COMPUTED_VALUE"""),"普通科")</f>
        <v>普通科</v>
      </c>
      <c r="F1257" s="9" t="str">
        <f>IFERROR(__xludf.DUMMYFUNCTION("""COMPUTED_VALUE"""),"二年級")</f>
        <v>二年級</v>
      </c>
      <c r="G1257" s="10" t="str">
        <f>IFERROR(__xludf.DUMMYFUNCTION("""COMPUTED_VALUE"""),"獎狀")</f>
        <v>獎狀</v>
      </c>
      <c r="H1257" s="9"/>
    </row>
    <row r="1258">
      <c r="A1258" s="5" t="s">
        <v>9</v>
      </c>
      <c r="B1258" s="9" t="str">
        <f>IFERROR(__xludf.DUMMYFUNCTION("""COMPUTED_VALUE"""),"林O")</f>
        <v>林O</v>
      </c>
      <c r="C1258" s="9" t="str">
        <f>IFERROR(__xludf.DUMMYFUNCTION("""COMPUTED_VALUE"""),"311*****s6.pmsh.khc.edu.tw")</f>
        <v>311*****s6.pmsh.khc.edu.tw</v>
      </c>
      <c r="D1258" s="9" t="str">
        <f>IFERROR(__xludf.DUMMYFUNCTION("""COMPUTED_VALUE"""),"佛光山學校財團法人高雄市普門高級中學")</f>
        <v>佛光山學校財團法人高雄市普門高級中學</v>
      </c>
      <c r="E1258" s="9" t="str">
        <f>IFERROR(__xludf.DUMMYFUNCTION("""COMPUTED_VALUE"""),"普通科")</f>
        <v>普通科</v>
      </c>
      <c r="F1258" s="9" t="str">
        <f>IFERROR(__xludf.DUMMYFUNCTION("""COMPUTED_VALUE"""),"二年級")</f>
        <v>二年級</v>
      </c>
      <c r="G1258" s="10" t="str">
        <f>IFERROR(__xludf.DUMMYFUNCTION("""COMPUTED_VALUE"""),"獎狀")</f>
        <v>獎狀</v>
      </c>
      <c r="H1258" s="9"/>
    </row>
    <row r="1259">
      <c r="A1259" s="5" t="s">
        <v>9</v>
      </c>
      <c r="B1259" s="9" t="str">
        <f>IFERROR(__xludf.DUMMYFUNCTION("""COMPUTED_VALUE"""),"黃O淇")</f>
        <v>黃O淇</v>
      </c>
      <c r="C1259" s="9" t="str">
        <f>IFERROR(__xludf.DUMMYFUNCTION("""COMPUTED_VALUE"""),"311*****s6.pmsh.khc.edu.tw")</f>
        <v>311*****s6.pmsh.khc.edu.tw</v>
      </c>
      <c r="D1259" s="9" t="str">
        <f>IFERROR(__xludf.DUMMYFUNCTION("""COMPUTED_VALUE"""),"佛光山學校財團法人高雄市普門高級中學")</f>
        <v>佛光山學校財團法人高雄市普門高級中學</v>
      </c>
      <c r="E1259" s="9" t="str">
        <f>IFERROR(__xludf.DUMMYFUNCTION("""COMPUTED_VALUE"""),"普通科")</f>
        <v>普通科</v>
      </c>
      <c r="F1259" s="9" t="str">
        <f>IFERROR(__xludf.DUMMYFUNCTION("""COMPUTED_VALUE"""),"二年級")</f>
        <v>二年級</v>
      </c>
      <c r="G1259" s="10" t="str">
        <f>IFERROR(__xludf.DUMMYFUNCTION("""COMPUTED_VALUE"""),"獎狀")</f>
        <v>獎狀</v>
      </c>
      <c r="H1259" s="9"/>
    </row>
    <row r="1260">
      <c r="A1260" s="5" t="s">
        <v>9</v>
      </c>
      <c r="B1260" s="9" t="str">
        <f>IFERROR(__xludf.DUMMYFUNCTION("""COMPUTED_VALUE"""),"廖O妤")</f>
        <v>廖O妤</v>
      </c>
      <c r="C1260" s="9" t="str">
        <f>IFERROR(__xludf.DUMMYFUNCTION("""COMPUTED_VALUE"""),"s04*****.cherry@mail.edu.tw")</f>
        <v>s04*****.cherry@mail.edu.tw</v>
      </c>
      <c r="D1260" s="9" t="str">
        <f>IFERROR(__xludf.DUMMYFUNCTION("""COMPUTED_VALUE"""),"佛光山學校財團法人高雄市普門高級中學")</f>
        <v>佛光山學校財團法人高雄市普門高級中學</v>
      </c>
      <c r="E1260" s="9" t="str">
        <f>IFERROR(__xludf.DUMMYFUNCTION("""COMPUTED_VALUE"""),"普通科")</f>
        <v>普通科</v>
      </c>
      <c r="F1260" s="9" t="str">
        <f>IFERROR(__xludf.DUMMYFUNCTION("""COMPUTED_VALUE"""),"二年級")</f>
        <v>二年級</v>
      </c>
      <c r="G1260" s="10" t="str">
        <f>IFERROR(__xludf.DUMMYFUNCTION("""COMPUTED_VALUE"""),"■商品卡$200")</f>
        <v>■商品卡$200</v>
      </c>
      <c r="H1260" s="9"/>
    </row>
    <row r="1261">
      <c r="A1261" s="5" t="s">
        <v>9</v>
      </c>
      <c r="B1261" s="9" t="str">
        <f>IFERROR(__xludf.DUMMYFUNCTION("""COMPUTED_VALUE"""),"楊O")</f>
        <v>楊O</v>
      </c>
      <c r="C1261" s="9" t="str">
        <f>IFERROR(__xludf.DUMMYFUNCTION("""COMPUTED_VALUE"""),"yxi*****gmail.com")</f>
        <v>yxi*****gmail.com</v>
      </c>
      <c r="D1261" s="9" t="str">
        <f>IFERROR(__xludf.DUMMYFUNCTION("""COMPUTED_VALUE"""),"佛光山學校財團法人高雄市普門高級中學")</f>
        <v>佛光山學校財團法人高雄市普門高級中學</v>
      </c>
      <c r="E1261" s="9" t="str">
        <f>IFERROR(__xludf.DUMMYFUNCTION("""COMPUTED_VALUE"""),"普通科")</f>
        <v>普通科</v>
      </c>
      <c r="F1261" s="9" t="str">
        <f>IFERROR(__xludf.DUMMYFUNCTION("""COMPUTED_VALUE"""),"二年級")</f>
        <v>二年級</v>
      </c>
      <c r="G1261" s="10" t="str">
        <f>IFERROR(__xludf.DUMMYFUNCTION("""COMPUTED_VALUE"""),"獎狀")</f>
        <v>獎狀</v>
      </c>
      <c r="H1261" s="9"/>
    </row>
    <row r="1262">
      <c r="A1262" s="5" t="s">
        <v>9</v>
      </c>
      <c r="B1262" s="9" t="str">
        <f>IFERROR(__xludf.DUMMYFUNCTION("""COMPUTED_VALUE"""),"李O錦")</f>
        <v>李O錦</v>
      </c>
      <c r="C1262" s="9" t="str">
        <f>IFERROR(__xludf.DUMMYFUNCTION("""COMPUTED_VALUE"""),"311*****s6.pmsh.khc.edu.tw")</f>
        <v>311*****s6.pmsh.khc.edu.tw</v>
      </c>
      <c r="D1262" s="9" t="str">
        <f>IFERROR(__xludf.DUMMYFUNCTION("""COMPUTED_VALUE"""),"佛光山學校財團法人高雄市普門高級中學")</f>
        <v>佛光山學校財團法人高雄市普門高級中學</v>
      </c>
      <c r="E1262" s="9" t="str">
        <f>IFERROR(__xludf.DUMMYFUNCTION("""COMPUTED_VALUE"""),"普通科")</f>
        <v>普通科</v>
      </c>
      <c r="F1262" s="9" t="str">
        <f>IFERROR(__xludf.DUMMYFUNCTION("""COMPUTED_VALUE"""),"二年級")</f>
        <v>二年級</v>
      </c>
      <c r="G1262" s="10" t="str">
        <f>IFERROR(__xludf.DUMMYFUNCTION("""COMPUTED_VALUE"""),"獎狀")</f>
        <v>獎狀</v>
      </c>
      <c r="H1262" s="9"/>
    </row>
    <row r="1263">
      <c r="A1263" s="5" t="s">
        <v>9</v>
      </c>
      <c r="B1263" s="9" t="str">
        <f>IFERROR(__xludf.DUMMYFUNCTION("""COMPUTED_VALUE"""),"郭O婷")</f>
        <v>郭O婷</v>
      </c>
      <c r="C1263" s="9" t="str">
        <f>IFERROR(__xludf.DUMMYFUNCTION("""COMPUTED_VALUE"""),"311*****s6.pmsh.khc.edu.tw")</f>
        <v>311*****s6.pmsh.khc.edu.tw</v>
      </c>
      <c r="D1263" s="9" t="str">
        <f>IFERROR(__xludf.DUMMYFUNCTION("""COMPUTED_VALUE"""),"佛光山學校財團法人高雄市普門高級中學")</f>
        <v>佛光山學校財團法人高雄市普門高級中學</v>
      </c>
      <c r="E1263" s="9" t="str">
        <f>IFERROR(__xludf.DUMMYFUNCTION("""COMPUTED_VALUE"""),"普通科")</f>
        <v>普通科</v>
      </c>
      <c r="F1263" s="9" t="str">
        <f>IFERROR(__xludf.DUMMYFUNCTION("""COMPUTED_VALUE"""),"二年級")</f>
        <v>二年級</v>
      </c>
      <c r="G1263" s="10" t="str">
        <f>IFERROR(__xludf.DUMMYFUNCTION("""COMPUTED_VALUE"""),"■商品卡$200")</f>
        <v>■商品卡$200</v>
      </c>
      <c r="H1263" s="9"/>
    </row>
    <row r="1264">
      <c r="A1264" s="5" t="s">
        <v>9</v>
      </c>
      <c r="B1264" s="9" t="str">
        <f>IFERROR(__xludf.DUMMYFUNCTION("""COMPUTED_VALUE"""),"張O權")</f>
        <v>張O權</v>
      </c>
      <c r="C1264" s="9" t="str">
        <f>IFERROR(__xludf.DUMMYFUNCTION("""COMPUTED_VALUE"""),"311*****s6.pmsh.khc.edu.tw")</f>
        <v>311*****s6.pmsh.khc.edu.tw</v>
      </c>
      <c r="D1264" s="9" t="str">
        <f>IFERROR(__xludf.DUMMYFUNCTION("""COMPUTED_VALUE"""),"佛光山學校財團法人高雄市普門高級中學")</f>
        <v>佛光山學校財團法人高雄市普門高級中學</v>
      </c>
      <c r="E1264" s="9" t="str">
        <f>IFERROR(__xludf.DUMMYFUNCTION("""COMPUTED_VALUE"""),"普通科")</f>
        <v>普通科</v>
      </c>
      <c r="F1264" s="9" t="str">
        <f>IFERROR(__xludf.DUMMYFUNCTION("""COMPUTED_VALUE"""),"二年級")</f>
        <v>二年級</v>
      </c>
      <c r="G1264" s="10" t="str">
        <f>IFERROR(__xludf.DUMMYFUNCTION("""COMPUTED_VALUE"""),"獎狀")</f>
        <v>獎狀</v>
      </c>
      <c r="H1264" s="9"/>
    </row>
    <row r="1265">
      <c r="A1265" s="5" t="s">
        <v>9</v>
      </c>
      <c r="B1265" s="9" t="str">
        <f>IFERROR(__xludf.DUMMYFUNCTION("""COMPUTED_VALUE"""),"鍾O霖")</f>
        <v>鍾O霖</v>
      </c>
      <c r="C1265" s="9" t="str">
        <f>IFERROR(__xludf.DUMMYFUNCTION("""COMPUTED_VALUE"""),"311*****s6.pmsh.khc.edu.tw")</f>
        <v>311*****s6.pmsh.khc.edu.tw</v>
      </c>
      <c r="D1265" s="9" t="str">
        <f>IFERROR(__xludf.DUMMYFUNCTION("""COMPUTED_VALUE"""),"佛光山學校財團法人高雄市普門高級中學")</f>
        <v>佛光山學校財團法人高雄市普門高級中學</v>
      </c>
      <c r="E1265" s="9" t="str">
        <f>IFERROR(__xludf.DUMMYFUNCTION("""COMPUTED_VALUE"""),"普通科")</f>
        <v>普通科</v>
      </c>
      <c r="F1265" s="9" t="str">
        <f>IFERROR(__xludf.DUMMYFUNCTION("""COMPUTED_VALUE"""),"二年級")</f>
        <v>二年級</v>
      </c>
      <c r="G1265" s="10" t="str">
        <f>IFERROR(__xludf.DUMMYFUNCTION("""COMPUTED_VALUE"""),"獎狀")</f>
        <v>獎狀</v>
      </c>
      <c r="H1265" s="9"/>
    </row>
    <row r="1266">
      <c r="A1266" s="5" t="s">
        <v>9</v>
      </c>
      <c r="B1266" s="9" t="str">
        <f>IFERROR(__xludf.DUMMYFUNCTION("""COMPUTED_VALUE"""),"羅O婷")</f>
        <v>羅O婷</v>
      </c>
      <c r="C1266" s="9" t="str">
        <f>IFERROR(__xludf.DUMMYFUNCTION("""COMPUTED_VALUE"""),"311*****s6.pmsh.khc.edu.tw")</f>
        <v>311*****s6.pmsh.khc.edu.tw</v>
      </c>
      <c r="D1266" s="9" t="str">
        <f>IFERROR(__xludf.DUMMYFUNCTION("""COMPUTED_VALUE"""),"佛光山學校財團法人高雄市普門高級中學")</f>
        <v>佛光山學校財團法人高雄市普門高級中學</v>
      </c>
      <c r="E1266" s="9" t="str">
        <f>IFERROR(__xludf.DUMMYFUNCTION("""COMPUTED_VALUE"""),"普通科")</f>
        <v>普通科</v>
      </c>
      <c r="F1266" s="9" t="str">
        <f>IFERROR(__xludf.DUMMYFUNCTION("""COMPUTED_VALUE"""),"二年級")</f>
        <v>二年級</v>
      </c>
      <c r="G1266" s="10" t="str">
        <f>IFERROR(__xludf.DUMMYFUNCTION("""COMPUTED_VALUE"""),"■商品卡$200")</f>
        <v>■商品卡$200</v>
      </c>
      <c r="H1266" s="9"/>
    </row>
    <row r="1267">
      <c r="A1267" s="5" t="s">
        <v>9</v>
      </c>
      <c r="B1267" s="9" t="str">
        <f>IFERROR(__xludf.DUMMYFUNCTION("""COMPUTED_VALUE"""),"劉O謙")</f>
        <v>劉O謙</v>
      </c>
      <c r="C1267" s="9" t="str">
        <f>IFERROR(__xludf.DUMMYFUNCTION("""COMPUTED_VALUE"""),"311*****s6.pmsh.khc.edu.tw")</f>
        <v>311*****s6.pmsh.khc.edu.tw</v>
      </c>
      <c r="D1267" s="9" t="str">
        <f>IFERROR(__xludf.DUMMYFUNCTION("""COMPUTED_VALUE"""),"佛光山學校財團法人高雄市普門高級中學")</f>
        <v>佛光山學校財團法人高雄市普門高級中學</v>
      </c>
      <c r="E1267" s="9" t="str">
        <f>IFERROR(__xludf.DUMMYFUNCTION("""COMPUTED_VALUE"""),"普通科")</f>
        <v>普通科</v>
      </c>
      <c r="F1267" s="9" t="str">
        <f>IFERROR(__xludf.DUMMYFUNCTION("""COMPUTED_VALUE"""),"二年級")</f>
        <v>二年級</v>
      </c>
      <c r="G1267" s="10" t="str">
        <f>IFERROR(__xludf.DUMMYFUNCTION("""COMPUTED_VALUE"""),"獎狀")</f>
        <v>獎狀</v>
      </c>
      <c r="H1267" s="9"/>
    </row>
    <row r="1268">
      <c r="A1268" s="5" t="s">
        <v>9</v>
      </c>
      <c r="B1268" s="9" t="str">
        <f>IFERROR(__xludf.DUMMYFUNCTION("""COMPUTED_VALUE"""),"張O宇")</f>
        <v>張O宇</v>
      </c>
      <c r="C1268" s="9" t="str">
        <f>IFERROR(__xludf.DUMMYFUNCTION("""COMPUTED_VALUE"""),"311*****s6.pmsh.khc.edu.tw")</f>
        <v>311*****s6.pmsh.khc.edu.tw</v>
      </c>
      <c r="D1268" s="9" t="str">
        <f>IFERROR(__xludf.DUMMYFUNCTION("""COMPUTED_VALUE"""),"佛光山學校財團法人高雄市普門高級中學")</f>
        <v>佛光山學校財團法人高雄市普門高級中學</v>
      </c>
      <c r="E1268" s="9" t="str">
        <f>IFERROR(__xludf.DUMMYFUNCTION("""COMPUTED_VALUE"""),"普通科")</f>
        <v>普通科</v>
      </c>
      <c r="F1268" s="9" t="str">
        <f>IFERROR(__xludf.DUMMYFUNCTION("""COMPUTED_VALUE"""),"二年級")</f>
        <v>二年級</v>
      </c>
      <c r="G1268" s="10" t="str">
        <f>IFERROR(__xludf.DUMMYFUNCTION("""COMPUTED_VALUE"""),"獎狀")</f>
        <v>獎狀</v>
      </c>
      <c r="H1268" s="9"/>
    </row>
    <row r="1269">
      <c r="A1269" s="5" t="s">
        <v>9</v>
      </c>
      <c r="B1269" s="9" t="str">
        <f>IFERROR(__xludf.DUMMYFUNCTION("""COMPUTED_VALUE"""),"謝O羿")</f>
        <v>謝O羿</v>
      </c>
      <c r="C1269" s="9" t="str">
        <f>IFERROR(__xludf.DUMMYFUNCTION("""COMPUTED_VALUE"""),"311*****s6.pmsh.khc.edu.tw")</f>
        <v>311*****s6.pmsh.khc.edu.tw</v>
      </c>
      <c r="D1269" s="9" t="str">
        <f>IFERROR(__xludf.DUMMYFUNCTION("""COMPUTED_VALUE"""),"佛光山學校財團法人高雄市普門高級中學")</f>
        <v>佛光山學校財團法人高雄市普門高級中學</v>
      </c>
      <c r="E1269" s="9" t="str">
        <f>IFERROR(__xludf.DUMMYFUNCTION("""COMPUTED_VALUE"""),"普通科")</f>
        <v>普通科</v>
      </c>
      <c r="F1269" s="9" t="str">
        <f>IFERROR(__xludf.DUMMYFUNCTION("""COMPUTED_VALUE"""),"二年級")</f>
        <v>二年級</v>
      </c>
      <c r="G1269" s="10" t="str">
        <f>IFERROR(__xludf.DUMMYFUNCTION("""COMPUTED_VALUE"""),"獎狀")</f>
        <v>獎狀</v>
      </c>
      <c r="H1269" s="9"/>
    </row>
    <row r="1270">
      <c r="A1270" s="5" t="s">
        <v>9</v>
      </c>
      <c r="B1270" s="9" t="str">
        <f>IFERROR(__xludf.DUMMYFUNCTION("""COMPUTED_VALUE"""),"謝O欣")</f>
        <v>謝O欣</v>
      </c>
      <c r="C1270" s="9" t="str">
        <f>IFERROR(__xludf.DUMMYFUNCTION("""COMPUTED_VALUE"""),"311*****s6.pmsh.khc.edu.tw")</f>
        <v>311*****s6.pmsh.khc.edu.tw</v>
      </c>
      <c r="D1270" s="9" t="str">
        <f>IFERROR(__xludf.DUMMYFUNCTION("""COMPUTED_VALUE"""),"佛光山學校財團法人高雄市普門高級中學")</f>
        <v>佛光山學校財團法人高雄市普門高級中學</v>
      </c>
      <c r="E1270" s="9" t="str">
        <f>IFERROR(__xludf.DUMMYFUNCTION("""COMPUTED_VALUE"""),"普通科")</f>
        <v>普通科</v>
      </c>
      <c r="F1270" s="9" t="str">
        <f>IFERROR(__xludf.DUMMYFUNCTION("""COMPUTED_VALUE"""),"二年級")</f>
        <v>二年級</v>
      </c>
      <c r="G1270" s="10" t="str">
        <f>IFERROR(__xludf.DUMMYFUNCTION("""COMPUTED_VALUE"""),"獎狀")</f>
        <v>獎狀</v>
      </c>
      <c r="H1270" s="9"/>
    </row>
    <row r="1271">
      <c r="A1271" s="5" t="s">
        <v>9</v>
      </c>
      <c r="B1271" s="9" t="str">
        <f>IFERROR(__xludf.DUMMYFUNCTION("""COMPUTED_VALUE"""),"劉O成")</f>
        <v>劉O成</v>
      </c>
      <c r="C1271" s="9" t="str">
        <f>IFERROR(__xludf.DUMMYFUNCTION("""COMPUTED_VALUE"""),"311*****s6.pmsh.khc.edu.tw")</f>
        <v>311*****s6.pmsh.khc.edu.tw</v>
      </c>
      <c r="D1271" s="9" t="str">
        <f>IFERROR(__xludf.DUMMYFUNCTION("""COMPUTED_VALUE"""),"佛光山學校財團法人高雄市普門高級中學")</f>
        <v>佛光山學校財團法人高雄市普門高級中學</v>
      </c>
      <c r="E1271" s="9" t="str">
        <f>IFERROR(__xludf.DUMMYFUNCTION("""COMPUTED_VALUE"""),"普通科")</f>
        <v>普通科</v>
      </c>
      <c r="F1271" s="9" t="str">
        <f>IFERROR(__xludf.DUMMYFUNCTION("""COMPUTED_VALUE"""),"二年級")</f>
        <v>二年級</v>
      </c>
      <c r="G1271" s="10" t="str">
        <f>IFERROR(__xludf.DUMMYFUNCTION("""COMPUTED_VALUE"""),"獎狀")</f>
        <v>獎狀</v>
      </c>
      <c r="H1271" s="9"/>
    </row>
    <row r="1272">
      <c r="A1272" s="5" t="s">
        <v>9</v>
      </c>
      <c r="B1272" s="9" t="str">
        <f>IFERROR(__xludf.DUMMYFUNCTION("""COMPUTED_VALUE"""),"陳O宇")</f>
        <v>陳O宇</v>
      </c>
      <c r="C1272" s="9" t="str">
        <f>IFERROR(__xludf.DUMMYFUNCTION("""COMPUTED_VALUE"""),"311*****s6.pmsh.khc.edu.tw")</f>
        <v>311*****s6.pmsh.khc.edu.tw</v>
      </c>
      <c r="D1272" s="9" t="str">
        <f>IFERROR(__xludf.DUMMYFUNCTION("""COMPUTED_VALUE"""),"佛光山學校財團法人高雄市普門高級中學")</f>
        <v>佛光山學校財團法人高雄市普門高級中學</v>
      </c>
      <c r="E1272" s="9" t="str">
        <f>IFERROR(__xludf.DUMMYFUNCTION("""COMPUTED_VALUE"""),"普通科")</f>
        <v>普通科</v>
      </c>
      <c r="F1272" s="9" t="str">
        <f>IFERROR(__xludf.DUMMYFUNCTION("""COMPUTED_VALUE"""),"二年級")</f>
        <v>二年級</v>
      </c>
      <c r="G1272" s="10" t="str">
        <f>IFERROR(__xludf.DUMMYFUNCTION("""COMPUTED_VALUE"""),"獎狀")</f>
        <v>獎狀</v>
      </c>
      <c r="H1272" s="9"/>
    </row>
    <row r="1273">
      <c r="A1273" s="5" t="s">
        <v>9</v>
      </c>
      <c r="B1273" s="9" t="str">
        <f>IFERROR(__xludf.DUMMYFUNCTION("""COMPUTED_VALUE"""),"李O亭")</f>
        <v>李O亭</v>
      </c>
      <c r="C1273" s="9" t="str">
        <f>IFERROR(__xludf.DUMMYFUNCTION("""COMPUTED_VALUE"""),"311*****s6.pmsh.khc.edu.tw")</f>
        <v>311*****s6.pmsh.khc.edu.tw</v>
      </c>
      <c r="D1273" s="9" t="str">
        <f>IFERROR(__xludf.DUMMYFUNCTION("""COMPUTED_VALUE"""),"佛光山學校財團法人高雄市普門高級中學")</f>
        <v>佛光山學校財團法人高雄市普門高級中學</v>
      </c>
      <c r="E1273" s="9" t="str">
        <f>IFERROR(__xludf.DUMMYFUNCTION("""COMPUTED_VALUE"""),"普通科")</f>
        <v>普通科</v>
      </c>
      <c r="F1273" s="9" t="str">
        <f>IFERROR(__xludf.DUMMYFUNCTION("""COMPUTED_VALUE"""),"二年級")</f>
        <v>二年級</v>
      </c>
      <c r="G1273" s="10" t="str">
        <f>IFERROR(__xludf.DUMMYFUNCTION("""COMPUTED_VALUE"""),"獎狀")</f>
        <v>獎狀</v>
      </c>
      <c r="H1273" s="9"/>
    </row>
    <row r="1274">
      <c r="A1274" s="5" t="s">
        <v>9</v>
      </c>
      <c r="B1274" s="9" t="str">
        <f>IFERROR(__xludf.DUMMYFUNCTION("""COMPUTED_VALUE"""),"歐O蓁")</f>
        <v>歐O蓁</v>
      </c>
      <c r="C1274" s="9" t="str">
        <f>IFERROR(__xludf.DUMMYFUNCTION("""COMPUTED_VALUE"""),"104*****mail.phc.edu.tw")</f>
        <v>104*****mail.phc.edu.tw</v>
      </c>
      <c r="D1274" s="9" t="str">
        <f>IFERROR(__xludf.DUMMYFUNCTION("""COMPUTED_VALUE"""),"國立馬公高級中學")</f>
        <v>國立馬公高級中學</v>
      </c>
      <c r="E1274" s="9" t="str">
        <f>IFERROR(__xludf.DUMMYFUNCTION("""COMPUTED_VALUE"""),"普通科")</f>
        <v>普通科</v>
      </c>
      <c r="F1274" s="9" t="str">
        <f>IFERROR(__xludf.DUMMYFUNCTION("""COMPUTED_VALUE"""),"一年級")</f>
        <v>一年級</v>
      </c>
      <c r="G1274" s="10" t="str">
        <f>IFERROR(__xludf.DUMMYFUNCTION("""COMPUTED_VALUE"""),"獎狀")</f>
        <v>獎狀</v>
      </c>
      <c r="H1274" s="9"/>
    </row>
    <row r="1275">
      <c r="A1275" s="5" t="s">
        <v>9</v>
      </c>
      <c r="B1275" s="9" t="str">
        <f>IFERROR(__xludf.DUMMYFUNCTION("""COMPUTED_VALUE"""),"周O貽")</f>
        <v>周O貽</v>
      </c>
      <c r="C1275" s="9" t="str">
        <f>IFERROR(__xludf.DUMMYFUNCTION("""COMPUTED_VALUE"""),"eva*****8@gmail.com")</f>
        <v>eva*****8@gmail.com</v>
      </c>
      <c r="D1275" s="9" t="str">
        <f>IFERROR(__xludf.DUMMYFUNCTION("""COMPUTED_VALUE"""),"國立馬公高級中學")</f>
        <v>國立馬公高級中學</v>
      </c>
      <c r="E1275" s="9" t="str">
        <f>IFERROR(__xludf.DUMMYFUNCTION("""COMPUTED_VALUE"""),"普通科")</f>
        <v>普通科</v>
      </c>
      <c r="F1275" s="9" t="str">
        <f>IFERROR(__xludf.DUMMYFUNCTION("""COMPUTED_VALUE"""),"一年級")</f>
        <v>一年級</v>
      </c>
      <c r="G1275" s="10" t="str">
        <f>IFERROR(__xludf.DUMMYFUNCTION("""COMPUTED_VALUE"""),"獎狀")</f>
        <v>獎狀</v>
      </c>
      <c r="H1275" s="9"/>
    </row>
    <row r="1276">
      <c r="A1276" s="5" t="s">
        <v>9</v>
      </c>
      <c r="B1276" s="9" t="str">
        <f>IFERROR(__xludf.DUMMYFUNCTION("""COMPUTED_VALUE"""),"吳O喬")</f>
        <v>吳O喬</v>
      </c>
      <c r="C1276" s="9" t="str">
        <f>IFERROR(__xludf.DUMMYFUNCTION("""COMPUTED_VALUE"""),"phc*****09@mail.edu.tw")</f>
        <v>phc*****09@mail.edu.tw</v>
      </c>
      <c r="D1276" s="9" t="str">
        <f>IFERROR(__xludf.DUMMYFUNCTION("""COMPUTED_VALUE"""),"國立馬公高級中學")</f>
        <v>國立馬公高級中學</v>
      </c>
      <c r="E1276" s="9" t="str">
        <f>IFERROR(__xludf.DUMMYFUNCTION("""COMPUTED_VALUE"""),"普通科")</f>
        <v>普通科</v>
      </c>
      <c r="F1276" s="9" t="str">
        <f>IFERROR(__xludf.DUMMYFUNCTION("""COMPUTED_VALUE"""),"二年級")</f>
        <v>二年級</v>
      </c>
      <c r="G1276" s="10" t="str">
        <f>IFERROR(__xludf.DUMMYFUNCTION("""COMPUTED_VALUE"""),"獎狀")</f>
        <v>獎狀</v>
      </c>
      <c r="H1276" s="9"/>
    </row>
    <row r="1277">
      <c r="A1277" s="5" t="s">
        <v>9</v>
      </c>
      <c r="B1277" s="9" t="str">
        <f>IFERROR(__xludf.DUMMYFUNCTION("""COMPUTED_VALUE"""),"謝O婕")</f>
        <v>謝O婕</v>
      </c>
      <c r="C1277" s="9" t="str">
        <f>IFERROR(__xludf.DUMMYFUNCTION("""COMPUTED_VALUE"""),"103*****mail.phc.edu.tw")</f>
        <v>103*****mail.phc.edu.tw</v>
      </c>
      <c r="D1277" s="9" t="str">
        <f>IFERROR(__xludf.DUMMYFUNCTION("""COMPUTED_VALUE"""),"國立馬公高級中學")</f>
        <v>國立馬公高級中學</v>
      </c>
      <c r="E1277" s="9" t="str">
        <f>IFERROR(__xludf.DUMMYFUNCTION("""COMPUTED_VALUE"""),"普通科")</f>
        <v>普通科</v>
      </c>
      <c r="F1277" s="9" t="str">
        <f>IFERROR(__xludf.DUMMYFUNCTION("""COMPUTED_VALUE"""),"三年級")</f>
        <v>三年級</v>
      </c>
      <c r="G1277" s="10" t="str">
        <f>IFERROR(__xludf.DUMMYFUNCTION("""COMPUTED_VALUE"""),"獎狀")</f>
        <v>獎狀</v>
      </c>
      <c r="H1277" s="9"/>
    </row>
    <row r="1278">
      <c r="A1278" s="5" t="s">
        <v>9</v>
      </c>
      <c r="B1278" s="9" t="str">
        <f>IFERROR(__xludf.DUMMYFUNCTION("""COMPUTED_VALUE"""),"羅O辰")</f>
        <v>羅O辰</v>
      </c>
      <c r="C1278" s="9" t="str">
        <f>IFERROR(__xludf.DUMMYFUNCTION("""COMPUTED_VALUE"""),"103*****mail.phc.edu.tw")</f>
        <v>103*****mail.phc.edu.tw</v>
      </c>
      <c r="D1278" s="9" t="str">
        <f>IFERROR(__xludf.DUMMYFUNCTION("""COMPUTED_VALUE"""),"國立馬公高級中學")</f>
        <v>國立馬公高級中學</v>
      </c>
      <c r="E1278" s="9" t="str">
        <f>IFERROR(__xludf.DUMMYFUNCTION("""COMPUTED_VALUE"""),"普通科")</f>
        <v>普通科</v>
      </c>
      <c r="F1278" s="9" t="str">
        <f>IFERROR(__xludf.DUMMYFUNCTION("""COMPUTED_VALUE"""),"三年級")</f>
        <v>三年級</v>
      </c>
      <c r="G1278" s="10" t="str">
        <f>IFERROR(__xludf.DUMMYFUNCTION("""COMPUTED_VALUE"""),"獎狀")</f>
        <v>獎狀</v>
      </c>
      <c r="H1278" s="9"/>
    </row>
    <row r="1279">
      <c r="A1279" s="5" t="s">
        <v>9</v>
      </c>
      <c r="B1279" s="9" t="str">
        <f>IFERROR(__xludf.DUMMYFUNCTION("""COMPUTED_VALUE"""),"郭O妍")</f>
        <v>郭O妍</v>
      </c>
      <c r="C1279" s="9" t="str">
        <f>IFERROR(__xludf.DUMMYFUNCTION("""COMPUTED_VALUE"""),"s31*****ptgsh.ptc.edu.tw")</f>
        <v>s31*****ptgsh.ptc.edu.tw</v>
      </c>
      <c r="D1279" s="9" t="str">
        <f>IFERROR(__xludf.DUMMYFUNCTION("""COMPUTED_VALUE"""),"國立屏東女子高級中學")</f>
        <v>國立屏東女子高級中學</v>
      </c>
      <c r="E1279" s="9" t="str">
        <f>IFERROR(__xludf.DUMMYFUNCTION("""COMPUTED_VALUE"""),"普通科")</f>
        <v>普通科</v>
      </c>
      <c r="F1279" s="9" t="str">
        <f>IFERROR(__xludf.DUMMYFUNCTION("""COMPUTED_VALUE"""),"二年級")</f>
        <v>二年級</v>
      </c>
      <c r="G1279" s="10" t="str">
        <f>IFERROR(__xludf.DUMMYFUNCTION("""COMPUTED_VALUE"""),"獎狀")</f>
        <v>獎狀</v>
      </c>
      <c r="H1279" s="9"/>
    </row>
    <row r="1280">
      <c r="A1280" s="5" t="s">
        <v>9</v>
      </c>
      <c r="B1280" s="9" t="str">
        <f>IFERROR(__xludf.DUMMYFUNCTION("""COMPUTED_VALUE"""),"曾O錡")</f>
        <v>曾O錡</v>
      </c>
      <c r="C1280" s="9" t="str">
        <f>IFERROR(__xludf.DUMMYFUNCTION("""COMPUTED_VALUE"""),"s31*****ptgsh.ptc.edu.tw")</f>
        <v>s31*****ptgsh.ptc.edu.tw</v>
      </c>
      <c r="D1280" s="9" t="str">
        <f>IFERROR(__xludf.DUMMYFUNCTION("""COMPUTED_VALUE"""),"國立屏東女子高級中學")</f>
        <v>國立屏東女子高級中學</v>
      </c>
      <c r="E1280" s="9" t="str">
        <f>IFERROR(__xludf.DUMMYFUNCTION("""COMPUTED_VALUE"""),"普通科")</f>
        <v>普通科</v>
      </c>
      <c r="F1280" s="9" t="str">
        <f>IFERROR(__xludf.DUMMYFUNCTION("""COMPUTED_VALUE"""),"二年級")</f>
        <v>二年級</v>
      </c>
      <c r="G1280" s="10" t="str">
        <f>IFERROR(__xludf.DUMMYFUNCTION("""COMPUTED_VALUE"""),"獎狀")</f>
        <v>獎狀</v>
      </c>
      <c r="H1280" s="9"/>
    </row>
    <row r="1281">
      <c r="A1281" s="5" t="s">
        <v>9</v>
      </c>
      <c r="B1281" s="9" t="str">
        <f>IFERROR(__xludf.DUMMYFUNCTION("""COMPUTED_VALUE"""),"林O蓁")</f>
        <v>林O蓁</v>
      </c>
      <c r="C1281" s="9" t="str">
        <f>IFERROR(__xludf.DUMMYFUNCTION("""COMPUTED_VALUE"""),"s31*****ptgsh.ptc.edu.tw")</f>
        <v>s31*****ptgsh.ptc.edu.tw</v>
      </c>
      <c r="D1281" s="9" t="str">
        <f>IFERROR(__xludf.DUMMYFUNCTION("""COMPUTED_VALUE"""),"國立屏東女子高級中學")</f>
        <v>國立屏東女子高級中學</v>
      </c>
      <c r="E1281" s="9" t="str">
        <f>IFERROR(__xludf.DUMMYFUNCTION("""COMPUTED_VALUE"""),"普通科")</f>
        <v>普通科</v>
      </c>
      <c r="F1281" s="9" t="str">
        <f>IFERROR(__xludf.DUMMYFUNCTION("""COMPUTED_VALUE"""),"二年級")</f>
        <v>二年級</v>
      </c>
      <c r="G1281" s="10" t="str">
        <f>IFERROR(__xludf.DUMMYFUNCTION("""COMPUTED_VALUE"""),"獎狀")</f>
        <v>獎狀</v>
      </c>
      <c r="H1281" s="9"/>
    </row>
    <row r="1282">
      <c r="A1282" s="5" t="s">
        <v>9</v>
      </c>
      <c r="B1282" s="9" t="str">
        <f>IFERROR(__xludf.DUMMYFUNCTION("""COMPUTED_VALUE"""),"謝O栯")</f>
        <v>謝O栯</v>
      </c>
      <c r="C1282" s="9" t="str">
        <f>IFERROR(__xludf.DUMMYFUNCTION("""COMPUTED_VALUE"""),"s31*****ptgsh.ptc.edu.tw")</f>
        <v>s31*****ptgsh.ptc.edu.tw</v>
      </c>
      <c r="D1282" s="9" t="str">
        <f>IFERROR(__xludf.DUMMYFUNCTION("""COMPUTED_VALUE"""),"國立屏東女子高級中學")</f>
        <v>國立屏東女子高級中學</v>
      </c>
      <c r="E1282" s="9" t="str">
        <f>IFERROR(__xludf.DUMMYFUNCTION("""COMPUTED_VALUE"""),"普通科")</f>
        <v>普通科</v>
      </c>
      <c r="F1282" s="9" t="str">
        <f>IFERROR(__xludf.DUMMYFUNCTION("""COMPUTED_VALUE"""),"二年級")</f>
        <v>二年級</v>
      </c>
      <c r="G1282" s="10" t="str">
        <f>IFERROR(__xludf.DUMMYFUNCTION("""COMPUTED_VALUE"""),"獎狀")</f>
        <v>獎狀</v>
      </c>
      <c r="H1282" s="11"/>
    </row>
    <row r="1283">
      <c r="A1283" s="5" t="s">
        <v>9</v>
      </c>
      <c r="B1283" s="9" t="str">
        <f>IFERROR(__xludf.DUMMYFUNCTION("""COMPUTED_VALUE"""),"郭O娟")</f>
        <v>郭O娟</v>
      </c>
      <c r="C1283" s="9" t="str">
        <f>IFERROR(__xludf.DUMMYFUNCTION("""COMPUTED_VALUE"""),"s31*****ptgsh.ptc.edu.tw")</f>
        <v>s31*****ptgsh.ptc.edu.tw</v>
      </c>
      <c r="D1283" s="9" t="str">
        <f>IFERROR(__xludf.DUMMYFUNCTION("""COMPUTED_VALUE"""),"國立屏東女子高級中學")</f>
        <v>國立屏東女子高級中學</v>
      </c>
      <c r="E1283" s="9" t="str">
        <f>IFERROR(__xludf.DUMMYFUNCTION("""COMPUTED_VALUE"""),"普通科")</f>
        <v>普通科</v>
      </c>
      <c r="F1283" s="9" t="str">
        <f>IFERROR(__xludf.DUMMYFUNCTION("""COMPUTED_VALUE"""),"二年級")</f>
        <v>二年級</v>
      </c>
      <c r="G1283" s="10" t="str">
        <f>IFERROR(__xludf.DUMMYFUNCTION("""COMPUTED_VALUE"""),"獎狀")</f>
        <v>獎狀</v>
      </c>
      <c r="H1283" s="11"/>
    </row>
    <row r="1284">
      <c r="A1284" s="5" t="s">
        <v>9</v>
      </c>
      <c r="B1284" s="9" t="str">
        <f>IFERROR(__xludf.DUMMYFUNCTION("""COMPUTED_VALUE"""),"蔡O諠")</f>
        <v>蔡O諠</v>
      </c>
      <c r="C1284" s="9" t="str">
        <f>IFERROR(__xludf.DUMMYFUNCTION("""COMPUTED_VALUE"""),"liu*****n1010@gmail.com")</f>
        <v>liu*****n1010@gmail.com</v>
      </c>
      <c r="D1284" s="9" t="str">
        <f>IFERROR(__xludf.DUMMYFUNCTION("""COMPUTED_VALUE"""),"國立屏東女子高級中學")</f>
        <v>國立屏東女子高級中學</v>
      </c>
      <c r="E1284" s="9" t="str">
        <f>IFERROR(__xludf.DUMMYFUNCTION("""COMPUTED_VALUE"""),"普通科")</f>
        <v>普通科</v>
      </c>
      <c r="F1284" s="9" t="str">
        <f>IFERROR(__xludf.DUMMYFUNCTION("""COMPUTED_VALUE"""),"三年級")</f>
        <v>三年級</v>
      </c>
      <c r="G1284" s="10" t="str">
        <f>IFERROR(__xludf.DUMMYFUNCTION("""COMPUTED_VALUE"""),"獎狀")</f>
        <v>獎狀</v>
      </c>
      <c r="H1284" s="9"/>
    </row>
    <row r="1285">
      <c r="A1285" s="5" t="s">
        <v>9</v>
      </c>
      <c r="B1285" s="9" t="str">
        <f>IFERROR(__xludf.DUMMYFUNCTION("""COMPUTED_VALUE"""),"蔡O菱")</f>
        <v>蔡O菱</v>
      </c>
      <c r="C1285" s="9" t="str">
        <f>IFERROR(__xludf.DUMMYFUNCTION("""COMPUTED_VALUE"""),"s21*****ptgsh.ptc.edu.tw")</f>
        <v>s21*****ptgsh.ptc.edu.tw</v>
      </c>
      <c r="D1285" s="9" t="str">
        <f>IFERROR(__xludf.DUMMYFUNCTION("""COMPUTED_VALUE"""),"國立屏東女子高級中學")</f>
        <v>國立屏東女子高級中學</v>
      </c>
      <c r="E1285" s="9" t="str">
        <f>IFERROR(__xludf.DUMMYFUNCTION("""COMPUTED_VALUE"""),"普通科")</f>
        <v>普通科</v>
      </c>
      <c r="F1285" s="9" t="str">
        <f>IFERROR(__xludf.DUMMYFUNCTION("""COMPUTED_VALUE"""),"三年級")</f>
        <v>三年級</v>
      </c>
      <c r="G1285" s="10" t="str">
        <f>IFERROR(__xludf.DUMMYFUNCTION("""COMPUTED_VALUE"""),"獎狀")</f>
        <v>獎狀</v>
      </c>
      <c r="H1285" s="9"/>
    </row>
    <row r="1286">
      <c r="A1286" s="5" t="s">
        <v>9</v>
      </c>
      <c r="B1286" s="9" t="str">
        <f>IFERROR(__xludf.DUMMYFUNCTION("""COMPUTED_VALUE"""),"陳O穎")</f>
        <v>陳O穎</v>
      </c>
      <c r="C1286" s="9" t="str">
        <f>IFERROR(__xludf.DUMMYFUNCTION("""COMPUTED_VALUE"""),"a09*****173@gmail.com")</f>
        <v>a09*****173@gmail.com</v>
      </c>
      <c r="D1286" s="9" t="str">
        <f>IFERROR(__xludf.DUMMYFUNCTION("""COMPUTED_VALUE"""),"國立屏東高級中學")</f>
        <v>國立屏東高級中學</v>
      </c>
      <c r="E1286" s="9" t="str">
        <f>IFERROR(__xludf.DUMMYFUNCTION("""COMPUTED_VALUE"""),"普通科")</f>
        <v>普通科</v>
      </c>
      <c r="F1286" s="9" t="str">
        <f>IFERROR(__xludf.DUMMYFUNCTION("""COMPUTED_VALUE"""),"三年級")</f>
        <v>三年級</v>
      </c>
      <c r="G1286" s="10" t="str">
        <f>IFERROR(__xludf.DUMMYFUNCTION("""COMPUTED_VALUE"""),"獎狀")</f>
        <v>獎狀</v>
      </c>
      <c r="H1286" s="9"/>
    </row>
    <row r="1287">
      <c r="A1287" s="5" t="s">
        <v>9</v>
      </c>
      <c r="B1287" s="9" t="str">
        <f>IFERROR(__xludf.DUMMYFUNCTION("""COMPUTED_VALUE"""),"陳O翰")</f>
        <v>陳O翰</v>
      </c>
      <c r="C1287" s="9" t="str">
        <f>IFERROR(__xludf.DUMMYFUNCTION("""COMPUTED_VALUE"""),"s21*****pths.ptc.edu.tw")</f>
        <v>s21*****pths.ptc.edu.tw</v>
      </c>
      <c r="D1287" s="9" t="str">
        <f>IFERROR(__xludf.DUMMYFUNCTION("""COMPUTED_VALUE"""),"國立屏東高級中學")</f>
        <v>國立屏東高級中學</v>
      </c>
      <c r="E1287" s="9" t="str">
        <f>IFERROR(__xludf.DUMMYFUNCTION("""COMPUTED_VALUE"""),"普通科")</f>
        <v>普通科</v>
      </c>
      <c r="F1287" s="9" t="str">
        <f>IFERROR(__xludf.DUMMYFUNCTION("""COMPUTED_VALUE"""),"三年級")</f>
        <v>三年級</v>
      </c>
      <c r="G1287" s="10" t="str">
        <f>IFERROR(__xludf.DUMMYFUNCTION("""COMPUTED_VALUE"""),"獎狀")</f>
        <v>獎狀</v>
      </c>
      <c r="H1287" s="11"/>
    </row>
    <row r="1288">
      <c r="A1288" s="5" t="s">
        <v>9</v>
      </c>
      <c r="B1288" s="9" t="str">
        <f>IFERROR(__xludf.DUMMYFUNCTION("""COMPUTED_VALUE"""),"蔡O霖")</f>
        <v>蔡O霖</v>
      </c>
      <c r="C1288" s="9" t="str">
        <f>IFERROR(__xludf.DUMMYFUNCTION("""COMPUTED_VALUE"""),"ann*****0@gmail.com")</f>
        <v>ann*****0@gmail.com</v>
      </c>
      <c r="D1288" s="9" t="str">
        <f>IFERROR(__xludf.DUMMYFUNCTION("""COMPUTED_VALUE"""),"國立屏科實驗高級中等學校")</f>
        <v>國立屏科實驗高級中等學校</v>
      </c>
      <c r="E1288" s="9" t="str">
        <f>IFERROR(__xludf.DUMMYFUNCTION("""COMPUTED_VALUE"""),"普通科")</f>
        <v>普通科</v>
      </c>
      <c r="F1288" s="9" t="str">
        <f>IFERROR(__xludf.DUMMYFUNCTION("""COMPUTED_VALUE"""),"一年級")</f>
        <v>一年級</v>
      </c>
      <c r="G1288" s="10" t="str">
        <f>IFERROR(__xludf.DUMMYFUNCTION("""COMPUTED_VALUE"""),"獎狀")</f>
        <v>獎狀</v>
      </c>
      <c r="H1288" s="11"/>
    </row>
    <row r="1289">
      <c r="A1289" s="5" t="s">
        <v>9</v>
      </c>
      <c r="B1289" s="9" t="str">
        <f>IFERROR(__xludf.DUMMYFUNCTION("""COMPUTED_VALUE"""),"曾O榛")</f>
        <v>曾O榛</v>
      </c>
      <c r="C1289" s="9" t="str">
        <f>IFERROR(__xludf.DUMMYFUNCTION("""COMPUTED_VALUE"""),"b.t*****88888@gmail.com")</f>
        <v>b.t*****88888@gmail.com</v>
      </c>
      <c r="D1289" s="9" t="str">
        <f>IFERROR(__xludf.DUMMYFUNCTION("""COMPUTED_VALUE"""),"國立屏科實驗高級中等學校")</f>
        <v>國立屏科實驗高級中等學校</v>
      </c>
      <c r="E1289" s="9" t="str">
        <f>IFERROR(__xludf.DUMMYFUNCTION("""COMPUTED_VALUE"""),"普通科")</f>
        <v>普通科</v>
      </c>
      <c r="F1289" s="9" t="str">
        <f>IFERROR(__xludf.DUMMYFUNCTION("""COMPUTED_VALUE"""),"一年級")</f>
        <v>一年級</v>
      </c>
      <c r="G1289" s="10" t="str">
        <f>IFERROR(__xludf.DUMMYFUNCTION("""COMPUTED_VALUE"""),"獎狀")</f>
        <v>獎狀</v>
      </c>
      <c r="H1289" s="11"/>
    </row>
    <row r="1290">
      <c r="A1290" s="5" t="s">
        <v>9</v>
      </c>
      <c r="B1290" s="9" t="str">
        <f>IFERROR(__xludf.DUMMYFUNCTION("""COMPUTED_VALUE"""),"陳O萱")</f>
        <v>陳O萱</v>
      </c>
      <c r="C1290" s="9" t="str">
        <f>IFERROR(__xludf.DUMMYFUNCTION("""COMPUTED_VALUE"""),"ghj*****ail.edu.tw")</f>
        <v>ghj*****ail.edu.tw</v>
      </c>
      <c r="D1290" s="9" t="str">
        <f>IFERROR(__xludf.DUMMYFUNCTION("""COMPUTED_VALUE"""),"屏東縣立枋寮高級中學")</f>
        <v>屏東縣立枋寮高級中學</v>
      </c>
      <c r="E1290" s="9" t="str">
        <f>IFERROR(__xludf.DUMMYFUNCTION("""COMPUTED_VALUE"""),"普通科")</f>
        <v>普通科</v>
      </c>
      <c r="F1290" s="9" t="str">
        <f>IFERROR(__xludf.DUMMYFUNCTION("""COMPUTED_VALUE"""),"一年級")</f>
        <v>一年級</v>
      </c>
      <c r="G1290" s="10" t="str">
        <f>IFERROR(__xludf.DUMMYFUNCTION("""COMPUTED_VALUE"""),"獎狀")</f>
        <v>獎狀</v>
      </c>
      <c r="H1290" s="11"/>
    </row>
    <row r="1291">
      <c r="A1291" s="5" t="s">
        <v>9</v>
      </c>
      <c r="B1291" s="9" t="str">
        <f>IFERROR(__xludf.DUMMYFUNCTION("""COMPUTED_VALUE"""),"湯O瑋")</f>
        <v>湯O瑋</v>
      </c>
      <c r="C1291" s="9" t="str">
        <f>IFERROR(__xludf.DUMMYFUNCTION("""COMPUTED_VALUE"""),"s31*****swsh.hlc.edu.tw")</f>
        <v>s31*****swsh.hlc.edu.tw</v>
      </c>
      <c r="D1291" s="9" t="str">
        <f>IFERROR(__xludf.DUMMYFUNCTION("""COMPUTED_VALUE"""),"四維學校財團法人花蓮縣四維高級中學")</f>
        <v>四維學校財團法人花蓮縣四維高級中學</v>
      </c>
      <c r="E1291" s="9" t="str">
        <f>IFERROR(__xludf.DUMMYFUNCTION("""COMPUTED_VALUE"""),"普通科")</f>
        <v>普通科</v>
      </c>
      <c r="F1291" s="9" t="str">
        <f>IFERROR(__xludf.DUMMYFUNCTION("""COMPUTED_VALUE"""),"二年級")</f>
        <v>二年級</v>
      </c>
      <c r="G1291" s="10" t="str">
        <f>IFERROR(__xludf.DUMMYFUNCTION("""COMPUTED_VALUE"""),"獎狀")</f>
        <v>獎狀</v>
      </c>
      <c r="H1291" s="9"/>
    </row>
    <row r="1292">
      <c r="A1292" s="5" t="s">
        <v>9</v>
      </c>
      <c r="B1292" s="9" t="str">
        <f>IFERROR(__xludf.DUMMYFUNCTION("""COMPUTED_VALUE"""),"劉O新")</f>
        <v>劉O新</v>
      </c>
      <c r="C1292" s="9" t="str">
        <f>IFERROR(__xludf.DUMMYFUNCTION("""COMPUTED_VALUE"""),"jer*****081209@gmail.com")</f>
        <v>jer*****081209@gmail.com</v>
      </c>
      <c r="D1292" s="9" t="str">
        <f>IFERROR(__xludf.DUMMYFUNCTION("""COMPUTED_VALUE"""),"四維學校財團法人花蓮縣四維高級中學")</f>
        <v>四維學校財團法人花蓮縣四維高級中學</v>
      </c>
      <c r="E1292" s="9" t="str">
        <f>IFERROR(__xludf.DUMMYFUNCTION("""COMPUTED_VALUE"""),"普通科")</f>
        <v>普通科</v>
      </c>
      <c r="F1292" s="9" t="str">
        <f>IFERROR(__xludf.DUMMYFUNCTION("""COMPUTED_VALUE"""),"二年級")</f>
        <v>二年級</v>
      </c>
      <c r="G1292" s="10" t="str">
        <f>IFERROR(__xludf.DUMMYFUNCTION("""COMPUTED_VALUE"""),"獎狀")</f>
        <v>獎狀</v>
      </c>
      <c r="H1292" s="9"/>
    </row>
    <row r="1293">
      <c r="A1293" s="5" t="s">
        <v>9</v>
      </c>
      <c r="B1293" s="9" t="str">
        <f>IFERROR(__xludf.DUMMYFUNCTION("""COMPUTED_VALUE"""),"陳O芸")</f>
        <v>陳O芸</v>
      </c>
      <c r="C1293" s="9" t="str">
        <f>IFERROR(__xludf.DUMMYFUNCTION("""COMPUTED_VALUE"""),"s31*****swsh.hlc.edu.tw")</f>
        <v>s31*****swsh.hlc.edu.tw</v>
      </c>
      <c r="D1293" s="9" t="str">
        <f>IFERROR(__xludf.DUMMYFUNCTION("""COMPUTED_VALUE"""),"四維學校財團法人花蓮縣四維高級中學")</f>
        <v>四維學校財團法人花蓮縣四維高級中學</v>
      </c>
      <c r="E1293" s="9" t="str">
        <f>IFERROR(__xludf.DUMMYFUNCTION("""COMPUTED_VALUE"""),"普通科")</f>
        <v>普通科</v>
      </c>
      <c r="F1293" s="9" t="str">
        <f>IFERROR(__xludf.DUMMYFUNCTION("""COMPUTED_VALUE"""),"二年級")</f>
        <v>二年級</v>
      </c>
      <c r="G1293" s="10" t="str">
        <f>IFERROR(__xludf.DUMMYFUNCTION("""COMPUTED_VALUE"""),"★商品卡$1000")</f>
        <v>★商品卡$1000</v>
      </c>
      <c r="H1293" s="9"/>
    </row>
    <row r="1294">
      <c r="A1294" s="5" t="s">
        <v>9</v>
      </c>
      <c r="B1294" s="9" t="str">
        <f>IFERROR(__xludf.DUMMYFUNCTION("""COMPUTED_VALUE"""),"李O萱")</f>
        <v>李O萱</v>
      </c>
      <c r="C1294" s="9" t="str">
        <f>IFERROR(__xludf.DUMMYFUNCTION("""COMPUTED_VALUE"""),"Lin*****277@gmail.com")</f>
        <v>Lin*****277@gmail.com</v>
      </c>
      <c r="D1294" s="9" t="str">
        <f>IFERROR(__xludf.DUMMYFUNCTION("""COMPUTED_VALUE"""),"四維學校財團法人花蓮縣四維高級中學")</f>
        <v>四維學校財團法人花蓮縣四維高級中學</v>
      </c>
      <c r="E1294" s="9" t="str">
        <f>IFERROR(__xludf.DUMMYFUNCTION("""COMPUTED_VALUE"""),"普通科")</f>
        <v>普通科</v>
      </c>
      <c r="F1294" s="9" t="str">
        <f>IFERROR(__xludf.DUMMYFUNCTION("""COMPUTED_VALUE"""),"二年級")</f>
        <v>二年級</v>
      </c>
      <c r="G1294" s="10" t="str">
        <f>IFERROR(__xludf.DUMMYFUNCTION("""COMPUTED_VALUE"""),"獎狀")</f>
        <v>獎狀</v>
      </c>
      <c r="H1294" s="9"/>
    </row>
    <row r="1295">
      <c r="A1295" s="5" t="s">
        <v>9</v>
      </c>
      <c r="B1295" s="9" t="str">
        <f>IFERROR(__xludf.DUMMYFUNCTION("""COMPUTED_VALUE"""),"鄭O靜")</f>
        <v>鄭O靜</v>
      </c>
      <c r="C1295" s="9" t="str">
        <f>IFERROR(__xludf.DUMMYFUNCTION("""COMPUTED_VALUE"""),"yaj*****0915@gmail.com")</f>
        <v>yaj*****0915@gmail.com</v>
      </c>
      <c r="D1295" s="9" t="str">
        <f>IFERROR(__xludf.DUMMYFUNCTION("""COMPUTED_VALUE"""),"四維學校財團法人花蓮縣四維高級中學")</f>
        <v>四維學校財團法人花蓮縣四維高級中學</v>
      </c>
      <c r="E1295" s="9" t="str">
        <f>IFERROR(__xludf.DUMMYFUNCTION("""COMPUTED_VALUE"""),"普通科")</f>
        <v>普通科</v>
      </c>
      <c r="F1295" s="9" t="str">
        <f>IFERROR(__xludf.DUMMYFUNCTION("""COMPUTED_VALUE"""),"二年級")</f>
        <v>二年級</v>
      </c>
      <c r="G1295" s="10" t="str">
        <f>IFERROR(__xludf.DUMMYFUNCTION("""COMPUTED_VALUE"""),"獎狀")</f>
        <v>獎狀</v>
      </c>
      <c r="H1295" s="9"/>
    </row>
    <row r="1296">
      <c r="A1296" s="5" t="s">
        <v>9</v>
      </c>
      <c r="B1296" s="9" t="str">
        <f>IFERROR(__xludf.DUMMYFUNCTION("""COMPUTED_VALUE"""),"蔡O諺")</f>
        <v>蔡O諺</v>
      </c>
      <c r="C1296" s="9" t="str">
        <f>IFERROR(__xludf.DUMMYFUNCTION("""COMPUTED_VALUE"""),"rai*****971227@gmail.com")</f>
        <v>rai*****971227@gmail.com</v>
      </c>
      <c r="D1296" s="9" t="str">
        <f>IFERROR(__xludf.DUMMYFUNCTION("""COMPUTED_VALUE"""),"四維學校財團法人花蓮縣四維高級中學")</f>
        <v>四維學校財團法人花蓮縣四維高級中學</v>
      </c>
      <c r="E1296" s="9" t="str">
        <f>IFERROR(__xludf.DUMMYFUNCTION("""COMPUTED_VALUE"""),"普通科")</f>
        <v>普通科</v>
      </c>
      <c r="F1296" s="9" t="str">
        <f>IFERROR(__xludf.DUMMYFUNCTION("""COMPUTED_VALUE"""),"二年級")</f>
        <v>二年級</v>
      </c>
      <c r="G1296" s="10" t="str">
        <f>IFERROR(__xludf.DUMMYFUNCTION("""COMPUTED_VALUE"""),"獎狀")</f>
        <v>獎狀</v>
      </c>
      <c r="H1296" s="9"/>
    </row>
    <row r="1297">
      <c r="A1297" s="5" t="s">
        <v>9</v>
      </c>
      <c r="B1297" s="9" t="str">
        <f>IFERROR(__xludf.DUMMYFUNCTION("""COMPUTED_VALUE"""),"黃O成")</f>
        <v>黃O成</v>
      </c>
      <c r="C1297" s="9" t="str">
        <f>IFERROR(__xludf.DUMMYFUNCTION("""COMPUTED_VALUE"""),"ss9*****a@gmail.com")</f>
        <v>ss9*****a@gmail.com</v>
      </c>
      <c r="D1297" s="9" t="str">
        <f>IFERROR(__xludf.DUMMYFUNCTION("""COMPUTED_VALUE"""),"四維學校財團法人花蓮縣四維高級中學")</f>
        <v>四維學校財團法人花蓮縣四維高級中學</v>
      </c>
      <c r="E1297" s="9" t="str">
        <f>IFERROR(__xludf.DUMMYFUNCTION("""COMPUTED_VALUE"""),"普通科")</f>
        <v>普通科</v>
      </c>
      <c r="F1297" s="9" t="str">
        <f>IFERROR(__xludf.DUMMYFUNCTION("""COMPUTED_VALUE"""),"二年級")</f>
        <v>二年級</v>
      </c>
      <c r="G1297" s="10" t="str">
        <f>IFERROR(__xludf.DUMMYFUNCTION("""COMPUTED_VALUE"""),"獎狀")</f>
        <v>獎狀</v>
      </c>
      <c r="H1297" s="9"/>
    </row>
    <row r="1298">
      <c r="A1298" s="5" t="s">
        <v>9</v>
      </c>
      <c r="B1298" s="9" t="str">
        <f>IFERROR(__xludf.DUMMYFUNCTION("""COMPUTED_VALUE"""),"羅O俞")</f>
        <v>羅O俞</v>
      </c>
      <c r="C1298" s="9" t="str">
        <f>IFERROR(__xludf.DUMMYFUNCTION("""COMPUTED_VALUE"""),"sin*****203@gmail.com")</f>
        <v>sin*****203@gmail.com</v>
      </c>
      <c r="D1298" s="9" t="str">
        <f>IFERROR(__xludf.DUMMYFUNCTION("""COMPUTED_VALUE"""),"四維學校財團法人花蓮縣四維高級中學")</f>
        <v>四維學校財團法人花蓮縣四維高級中學</v>
      </c>
      <c r="E1298" s="9" t="str">
        <f>IFERROR(__xludf.DUMMYFUNCTION("""COMPUTED_VALUE"""),"普通科")</f>
        <v>普通科</v>
      </c>
      <c r="F1298" s="9" t="str">
        <f>IFERROR(__xludf.DUMMYFUNCTION("""COMPUTED_VALUE"""),"二年級")</f>
        <v>二年級</v>
      </c>
      <c r="G1298" s="10" t="str">
        <f>IFERROR(__xludf.DUMMYFUNCTION("""COMPUTED_VALUE"""),"獎狀")</f>
        <v>獎狀</v>
      </c>
      <c r="H1298" s="9"/>
    </row>
    <row r="1299">
      <c r="A1299" s="5" t="s">
        <v>9</v>
      </c>
      <c r="B1299" s="9" t="str">
        <f>IFERROR(__xludf.DUMMYFUNCTION("""COMPUTED_VALUE"""),"王O庭")</f>
        <v>王O庭</v>
      </c>
      <c r="C1299" s="9" t="str">
        <f>IFERROR(__xludf.DUMMYFUNCTION("""COMPUTED_VALUE"""),"s20*****hlc.edu.tw")</f>
        <v>s20*****hlc.edu.tw</v>
      </c>
      <c r="D1299" s="9" t="str">
        <f>IFERROR(__xludf.DUMMYFUNCTION("""COMPUTED_VALUE"""),"四維學校財團法人花蓮縣四維高級中學")</f>
        <v>四維學校財團法人花蓮縣四維高級中學</v>
      </c>
      <c r="E1299" s="9" t="str">
        <f>IFERROR(__xludf.DUMMYFUNCTION("""COMPUTED_VALUE"""),"普通科")</f>
        <v>普通科</v>
      </c>
      <c r="F1299" s="9" t="str">
        <f>IFERROR(__xludf.DUMMYFUNCTION("""COMPUTED_VALUE"""),"二年級")</f>
        <v>二年級</v>
      </c>
      <c r="G1299" s="10" t="str">
        <f>IFERROR(__xludf.DUMMYFUNCTION("""COMPUTED_VALUE"""),"獎狀")</f>
        <v>獎狀</v>
      </c>
      <c r="H1299" s="9"/>
    </row>
    <row r="1300">
      <c r="A1300" s="5" t="s">
        <v>9</v>
      </c>
      <c r="B1300" s="9" t="str">
        <f>IFERROR(__xludf.DUMMYFUNCTION("""COMPUTED_VALUE"""),"温O文凱")</f>
        <v>温O文凱</v>
      </c>
      <c r="C1300" s="9" t="str">
        <f>IFERROR(__xludf.DUMMYFUNCTION("""COMPUTED_VALUE"""),"s31*****swsh.hlc.edu.tw")</f>
        <v>s31*****swsh.hlc.edu.tw</v>
      </c>
      <c r="D1300" s="9" t="str">
        <f>IFERROR(__xludf.DUMMYFUNCTION("""COMPUTED_VALUE"""),"四維學校財團法人花蓮縣四維高級中學")</f>
        <v>四維學校財團法人花蓮縣四維高級中學</v>
      </c>
      <c r="E1300" s="9" t="str">
        <f>IFERROR(__xludf.DUMMYFUNCTION("""COMPUTED_VALUE"""),"普通科")</f>
        <v>普通科</v>
      </c>
      <c r="F1300" s="9" t="str">
        <f>IFERROR(__xludf.DUMMYFUNCTION("""COMPUTED_VALUE"""),"二年級")</f>
        <v>二年級</v>
      </c>
      <c r="G1300" s="10" t="str">
        <f>IFERROR(__xludf.DUMMYFUNCTION("""COMPUTED_VALUE"""),"獎狀")</f>
        <v>獎狀</v>
      </c>
      <c r="H1300" s="9"/>
    </row>
    <row r="1301">
      <c r="A1301" s="5" t="s">
        <v>9</v>
      </c>
      <c r="B1301" s="9" t="str">
        <f>IFERROR(__xludf.DUMMYFUNCTION("""COMPUTED_VALUE"""),"黃O源")</f>
        <v>黃O源</v>
      </c>
      <c r="C1301" s="9" t="str">
        <f>IFERROR(__xludf.DUMMYFUNCTION("""COMPUTED_VALUE"""),"uu2*****22@gmail.com")</f>
        <v>uu2*****22@gmail.com</v>
      </c>
      <c r="D1301" s="9" t="str">
        <f>IFERROR(__xludf.DUMMYFUNCTION("""COMPUTED_VALUE"""),"四維學校財團法人花蓮縣四維高級中學")</f>
        <v>四維學校財團法人花蓮縣四維高級中學</v>
      </c>
      <c r="E1301" s="9" t="str">
        <f>IFERROR(__xludf.DUMMYFUNCTION("""COMPUTED_VALUE"""),"普通科")</f>
        <v>普通科</v>
      </c>
      <c r="F1301" s="9" t="str">
        <f>IFERROR(__xludf.DUMMYFUNCTION("""COMPUTED_VALUE"""),"二年級")</f>
        <v>二年級</v>
      </c>
      <c r="G1301" s="10" t="str">
        <f>IFERROR(__xludf.DUMMYFUNCTION("""COMPUTED_VALUE"""),"獎狀")</f>
        <v>獎狀</v>
      </c>
      <c r="H1301" s="9"/>
    </row>
    <row r="1302">
      <c r="A1302" s="5" t="s">
        <v>9</v>
      </c>
      <c r="B1302" s="9" t="str">
        <f>IFERROR(__xludf.DUMMYFUNCTION("""COMPUTED_VALUE"""),"陳O序")</f>
        <v>陳O序</v>
      </c>
      <c r="C1302" s="9" t="str">
        <f>IFERROR(__xludf.DUMMYFUNCTION("""COMPUTED_VALUE"""),"Pat*****898@gmail.com")</f>
        <v>Pat*****898@gmail.com</v>
      </c>
      <c r="D1302" s="9" t="str">
        <f>IFERROR(__xludf.DUMMYFUNCTION("""COMPUTED_VALUE"""),"四維學校財團法人花蓮縣四維高級中學")</f>
        <v>四維學校財團法人花蓮縣四維高級中學</v>
      </c>
      <c r="E1302" s="9" t="str">
        <f>IFERROR(__xludf.DUMMYFUNCTION("""COMPUTED_VALUE"""),"普通科")</f>
        <v>普通科</v>
      </c>
      <c r="F1302" s="9" t="str">
        <f>IFERROR(__xludf.DUMMYFUNCTION("""COMPUTED_VALUE"""),"二年級")</f>
        <v>二年級</v>
      </c>
      <c r="G1302" s="10" t="str">
        <f>IFERROR(__xludf.DUMMYFUNCTION("""COMPUTED_VALUE"""),"○商品卡$500")</f>
        <v>○商品卡$500</v>
      </c>
      <c r="H1302" s="9"/>
    </row>
    <row r="1303">
      <c r="A1303" s="5" t="s">
        <v>9</v>
      </c>
      <c r="B1303" s="9" t="str">
        <f>IFERROR(__xludf.DUMMYFUNCTION("""COMPUTED_VALUE"""),"葉O愷")</f>
        <v>葉O愷</v>
      </c>
      <c r="C1303" s="9" t="str">
        <f>IFERROR(__xludf.DUMMYFUNCTION("""COMPUTED_VALUE"""),"s31*****swsh.hlc.edu.tw")</f>
        <v>s31*****swsh.hlc.edu.tw</v>
      </c>
      <c r="D1303" s="9" t="str">
        <f>IFERROR(__xludf.DUMMYFUNCTION("""COMPUTED_VALUE"""),"四維學校財團法人花蓮縣四維高級中學")</f>
        <v>四維學校財團法人花蓮縣四維高級中學</v>
      </c>
      <c r="E1303" s="9" t="str">
        <f>IFERROR(__xludf.DUMMYFUNCTION("""COMPUTED_VALUE"""),"普通科")</f>
        <v>普通科</v>
      </c>
      <c r="F1303" s="9" t="str">
        <f>IFERROR(__xludf.DUMMYFUNCTION("""COMPUTED_VALUE"""),"二年級")</f>
        <v>二年級</v>
      </c>
      <c r="G1303" s="10" t="str">
        <f>IFERROR(__xludf.DUMMYFUNCTION("""COMPUTED_VALUE"""),"獎狀")</f>
        <v>獎狀</v>
      </c>
      <c r="H1303" s="9"/>
    </row>
    <row r="1304">
      <c r="A1304" s="5" t="s">
        <v>9</v>
      </c>
      <c r="B1304" s="9" t="str">
        <f>IFERROR(__xludf.DUMMYFUNCTION("""COMPUTED_VALUE"""),"林O芯")</f>
        <v>林O芯</v>
      </c>
      <c r="C1304" s="9" t="str">
        <f>IFERROR(__xludf.DUMMYFUNCTION("""COMPUTED_VALUE"""),"emm*****517@gmail.com")</f>
        <v>emm*****517@gmail.com</v>
      </c>
      <c r="D1304" s="9" t="str">
        <f>IFERROR(__xludf.DUMMYFUNCTION("""COMPUTED_VALUE"""),"四維學校財團法人花蓮縣四維高級中學")</f>
        <v>四維學校財團法人花蓮縣四維高級中學</v>
      </c>
      <c r="E1304" s="9" t="str">
        <f>IFERROR(__xludf.DUMMYFUNCTION("""COMPUTED_VALUE"""),"普通科")</f>
        <v>普通科</v>
      </c>
      <c r="F1304" s="9" t="str">
        <f>IFERROR(__xludf.DUMMYFUNCTION("""COMPUTED_VALUE"""),"二年級")</f>
        <v>二年級</v>
      </c>
      <c r="G1304" s="10" t="str">
        <f>IFERROR(__xludf.DUMMYFUNCTION("""COMPUTED_VALUE"""),"■商品卡$200")</f>
        <v>■商品卡$200</v>
      </c>
      <c r="H1304" s="9"/>
    </row>
    <row r="1305">
      <c r="A1305" s="5" t="s">
        <v>9</v>
      </c>
      <c r="B1305" s="9" t="str">
        <f>IFERROR(__xludf.DUMMYFUNCTION("""COMPUTED_VALUE"""),"朱O毓")</f>
        <v>朱O毓</v>
      </c>
      <c r="C1305" s="9" t="str">
        <f>IFERROR(__xludf.DUMMYFUNCTION("""COMPUTED_VALUE"""),"s31*****swsh.hlc.edu.tw")</f>
        <v>s31*****swsh.hlc.edu.tw</v>
      </c>
      <c r="D1305" s="9" t="str">
        <f>IFERROR(__xludf.DUMMYFUNCTION("""COMPUTED_VALUE"""),"四維學校財團法人花蓮縣四維高級中學")</f>
        <v>四維學校財團法人花蓮縣四維高級中學</v>
      </c>
      <c r="E1305" s="9" t="str">
        <f>IFERROR(__xludf.DUMMYFUNCTION("""COMPUTED_VALUE"""),"普通科")</f>
        <v>普通科</v>
      </c>
      <c r="F1305" s="9" t="str">
        <f>IFERROR(__xludf.DUMMYFUNCTION("""COMPUTED_VALUE"""),"二年級")</f>
        <v>二年級</v>
      </c>
      <c r="G1305" s="10" t="str">
        <f>IFERROR(__xludf.DUMMYFUNCTION("""COMPUTED_VALUE"""),"獎狀")</f>
        <v>獎狀</v>
      </c>
      <c r="H1305" s="9"/>
    </row>
    <row r="1306">
      <c r="A1306" s="5" t="s">
        <v>9</v>
      </c>
      <c r="B1306" s="9" t="str">
        <f>IFERROR(__xludf.DUMMYFUNCTION("""COMPUTED_VALUE"""),"覃O粢")</f>
        <v>覃O粢</v>
      </c>
      <c r="C1306" s="9" t="str">
        <f>IFERROR(__xludf.DUMMYFUNCTION("""COMPUTED_VALUE"""),"jzt*****gmail.com")</f>
        <v>jzt*****gmail.com</v>
      </c>
      <c r="D1306" s="9" t="str">
        <f>IFERROR(__xludf.DUMMYFUNCTION("""COMPUTED_VALUE"""),"四維學校財團法人花蓮縣四維高級中學")</f>
        <v>四維學校財團法人花蓮縣四維高級中學</v>
      </c>
      <c r="E1306" s="9" t="str">
        <f>IFERROR(__xludf.DUMMYFUNCTION("""COMPUTED_VALUE"""),"普通科")</f>
        <v>普通科</v>
      </c>
      <c r="F1306" s="9" t="str">
        <f>IFERROR(__xludf.DUMMYFUNCTION("""COMPUTED_VALUE"""),"二年級")</f>
        <v>二年級</v>
      </c>
      <c r="G1306" s="10" t="str">
        <f>IFERROR(__xludf.DUMMYFUNCTION("""COMPUTED_VALUE"""),"獎狀")</f>
        <v>獎狀</v>
      </c>
      <c r="H1306" s="9"/>
    </row>
    <row r="1307">
      <c r="A1307" s="5" t="s">
        <v>9</v>
      </c>
      <c r="B1307" s="9" t="str">
        <f>IFERROR(__xludf.DUMMYFUNCTION("""COMPUTED_VALUE"""),"劉O琳")</f>
        <v>劉O琳</v>
      </c>
      <c r="C1307" s="9" t="str">
        <f>IFERROR(__xludf.DUMMYFUNCTION("""COMPUTED_VALUE"""),"s31*****swsh.hlc.edu.tw")</f>
        <v>s31*****swsh.hlc.edu.tw</v>
      </c>
      <c r="D1307" s="9" t="str">
        <f>IFERROR(__xludf.DUMMYFUNCTION("""COMPUTED_VALUE"""),"四維學校財團法人花蓮縣四維高級中學")</f>
        <v>四維學校財團法人花蓮縣四維高級中學</v>
      </c>
      <c r="E1307" s="9" t="str">
        <f>IFERROR(__xludf.DUMMYFUNCTION("""COMPUTED_VALUE"""),"普通科")</f>
        <v>普通科</v>
      </c>
      <c r="F1307" s="9" t="str">
        <f>IFERROR(__xludf.DUMMYFUNCTION("""COMPUTED_VALUE"""),"二年級")</f>
        <v>二年級</v>
      </c>
      <c r="G1307" s="10" t="str">
        <f>IFERROR(__xludf.DUMMYFUNCTION("""COMPUTED_VALUE"""),"獎狀")</f>
        <v>獎狀</v>
      </c>
      <c r="H1307" s="9"/>
    </row>
    <row r="1308">
      <c r="A1308" s="5" t="s">
        <v>9</v>
      </c>
      <c r="B1308" s="9" t="str">
        <f>IFERROR(__xludf.DUMMYFUNCTION("""COMPUTED_VALUE"""),"劉O羽")</f>
        <v>劉O羽</v>
      </c>
      <c r="C1308" s="9" t="str">
        <f>IFERROR(__xludf.DUMMYFUNCTION("""COMPUTED_VALUE"""),"s31*****swsh.hlc.edu.tw")</f>
        <v>s31*****swsh.hlc.edu.tw</v>
      </c>
      <c r="D1308" s="9" t="str">
        <f>IFERROR(__xludf.DUMMYFUNCTION("""COMPUTED_VALUE"""),"四維學校財團法人花蓮縣四維高級中學")</f>
        <v>四維學校財團法人花蓮縣四維高級中學</v>
      </c>
      <c r="E1308" s="9" t="str">
        <f>IFERROR(__xludf.DUMMYFUNCTION("""COMPUTED_VALUE"""),"普通科")</f>
        <v>普通科</v>
      </c>
      <c r="F1308" s="9" t="str">
        <f>IFERROR(__xludf.DUMMYFUNCTION("""COMPUTED_VALUE"""),"二年級")</f>
        <v>二年級</v>
      </c>
      <c r="G1308" s="10" t="str">
        <f>IFERROR(__xludf.DUMMYFUNCTION("""COMPUTED_VALUE"""),"獎狀")</f>
        <v>獎狀</v>
      </c>
      <c r="H1308" s="9"/>
    </row>
    <row r="1309">
      <c r="A1309" s="5" t="s">
        <v>9</v>
      </c>
      <c r="B1309" s="9" t="str">
        <f>IFERROR(__xludf.DUMMYFUNCTION("""COMPUTED_VALUE"""),"劉O佑")</f>
        <v>劉O佑</v>
      </c>
      <c r="C1309" s="9" t="str">
        <f>IFERROR(__xludf.DUMMYFUNCTION("""COMPUTED_VALUE"""),"lzw*****1202@gmail.com")</f>
        <v>lzw*****1202@gmail.com</v>
      </c>
      <c r="D1309" s="9" t="str">
        <f>IFERROR(__xludf.DUMMYFUNCTION("""COMPUTED_VALUE"""),"四維學校財團法人花蓮縣四維高級中學")</f>
        <v>四維學校財團法人花蓮縣四維高級中學</v>
      </c>
      <c r="E1309" s="9" t="str">
        <f>IFERROR(__xludf.DUMMYFUNCTION("""COMPUTED_VALUE"""),"普通科")</f>
        <v>普通科</v>
      </c>
      <c r="F1309" s="9" t="str">
        <f>IFERROR(__xludf.DUMMYFUNCTION("""COMPUTED_VALUE"""),"二年級")</f>
        <v>二年級</v>
      </c>
      <c r="G1309" s="10" t="str">
        <f>IFERROR(__xludf.DUMMYFUNCTION("""COMPUTED_VALUE"""),"獎狀")</f>
        <v>獎狀</v>
      </c>
      <c r="H1309" s="9"/>
    </row>
    <row r="1310">
      <c r="A1310" s="5" t="s">
        <v>9</v>
      </c>
      <c r="B1310" s="9" t="str">
        <f>IFERROR(__xludf.DUMMYFUNCTION("""COMPUTED_VALUE"""),"林O璇")</f>
        <v>林O璇</v>
      </c>
      <c r="C1310" s="9" t="str">
        <f>IFERROR(__xludf.DUMMYFUNCTION("""COMPUTED_VALUE"""),"lin*****an980630@gmail.com")</f>
        <v>lin*****an980630@gmail.com</v>
      </c>
      <c r="D1310" s="9" t="str">
        <f>IFERROR(__xludf.DUMMYFUNCTION("""COMPUTED_VALUE"""),"四維學校財團法人花蓮縣四維高級中學")</f>
        <v>四維學校財團法人花蓮縣四維高級中學</v>
      </c>
      <c r="E1310" s="9" t="str">
        <f>IFERROR(__xludf.DUMMYFUNCTION("""COMPUTED_VALUE"""),"普通科")</f>
        <v>普通科</v>
      </c>
      <c r="F1310" s="9" t="str">
        <f>IFERROR(__xludf.DUMMYFUNCTION("""COMPUTED_VALUE"""),"二年級")</f>
        <v>二年級</v>
      </c>
      <c r="G1310" s="10" t="str">
        <f>IFERROR(__xludf.DUMMYFUNCTION("""COMPUTED_VALUE"""),"■商品卡$200")</f>
        <v>■商品卡$200</v>
      </c>
      <c r="H1310" s="9"/>
    </row>
    <row r="1311">
      <c r="A1311" s="5" t="s">
        <v>9</v>
      </c>
      <c r="B1311" s="9" t="str">
        <f>IFERROR(__xludf.DUMMYFUNCTION("""COMPUTED_VALUE"""),"陳O佳")</f>
        <v>陳O佳</v>
      </c>
      <c r="C1311" s="9" t="str">
        <f>IFERROR(__xludf.DUMMYFUNCTION("""COMPUTED_VALUE"""),"s31*****swsh.hlc.edu.tw")</f>
        <v>s31*****swsh.hlc.edu.tw</v>
      </c>
      <c r="D1311" s="9" t="str">
        <f>IFERROR(__xludf.DUMMYFUNCTION("""COMPUTED_VALUE"""),"四維學校財團法人花蓮縣四維高級中學")</f>
        <v>四維學校財團法人花蓮縣四維高級中學</v>
      </c>
      <c r="E1311" s="9" t="str">
        <f>IFERROR(__xludf.DUMMYFUNCTION("""COMPUTED_VALUE"""),"普通科")</f>
        <v>普通科</v>
      </c>
      <c r="F1311" s="9" t="str">
        <f>IFERROR(__xludf.DUMMYFUNCTION("""COMPUTED_VALUE"""),"二年級")</f>
        <v>二年級</v>
      </c>
      <c r="G1311" s="10" t="str">
        <f>IFERROR(__xludf.DUMMYFUNCTION("""COMPUTED_VALUE"""),"○商品卡$500")</f>
        <v>○商品卡$500</v>
      </c>
      <c r="H1311" s="9"/>
    </row>
    <row r="1312">
      <c r="A1312" s="5" t="s">
        <v>9</v>
      </c>
      <c r="B1312" s="9" t="str">
        <f>IFERROR(__xludf.DUMMYFUNCTION("""COMPUTED_VALUE"""),"李O澔")</f>
        <v>李O澔</v>
      </c>
      <c r="C1312" s="9" t="str">
        <f>IFERROR(__xludf.DUMMYFUNCTION("""COMPUTED_VALUE"""),"s31*****swsh.hlc.edu.tw")</f>
        <v>s31*****swsh.hlc.edu.tw</v>
      </c>
      <c r="D1312" s="9" t="str">
        <f>IFERROR(__xludf.DUMMYFUNCTION("""COMPUTED_VALUE"""),"四維學校財團法人花蓮縣四維高級中學")</f>
        <v>四維學校財團法人花蓮縣四維高級中學</v>
      </c>
      <c r="E1312" s="9" t="str">
        <f>IFERROR(__xludf.DUMMYFUNCTION("""COMPUTED_VALUE"""),"普通科")</f>
        <v>普通科</v>
      </c>
      <c r="F1312" s="9" t="str">
        <f>IFERROR(__xludf.DUMMYFUNCTION("""COMPUTED_VALUE"""),"二年級")</f>
        <v>二年級</v>
      </c>
      <c r="G1312" s="10" t="str">
        <f>IFERROR(__xludf.DUMMYFUNCTION("""COMPUTED_VALUE"""),"獎狀")</f>
        <v>獎狀</v>
      </c>
      <c r="H1312" s="9"/>
    </row>
    <row r="1313">
      <c r="A1313" s="5" t="s">
        <v>9</v>
      </c>
      <c r="B1313" s="9" t="str">
        <f>IFERROR(__xludf.DUMMYFUNCTION("""COMPUTED_VALUE"""),"劉O璇")</f>
        <v>劉O璇</v>
      </c>
      <c r="C1313" s="9" t="str">
        <f>IFERROR(__xludf.DUMMYFUNCTION("""COMPUTED_VALUE"""),"liu*****ndaisy@gmail.com")</f>
        <v>liu*****ndaisy@gmail.com</v>
      </c>
      <c r="D1313" s="9" t="str">
        <f>IFERROR(__xludf.DUMMYFUNCTION("""COMPUTED_VALUE"""),"四維學校財團法人花蓮縣四維高級中學")</f>
        <v>四維學校財團法人花蓮縣四維高級中學</v>
      </c>
      <c r="E1313" s="9" t="str">
        <f>IFERROR(__xludf.DUMMYFUNCTION("""COMPUTED_VALUE"""),"普通科")</f>
        <v>普通科</v>
      </c>
      <c r="F1313" s="9" t="str">
        <f>IFERROR(__xludf.DUMMYFUNCTION("""COMPUTED_VALUE"""),"二年級")</f>
        <v>二年級</v>
      </c>
      <c r="G1313" s="10" t="str">
        <f>IFERROR(__xludf.DUMMYFUNCTION("""COMPUTED_VALUE"""),"○商品卡$500")</f>
        <v>○商品卡$500</v>
      </c>
      <c r="H1313" s="9"/>
    </row>
    <row r="1314">
      <c r="A1314" s="5" t="s">
        <v>9</v>
      </c>
      <c r="B1314" s="9" t="str">
        <f>IFERROR(__xludf.DUMMYFUNCTION("""COMPUTED_VALUE"""),"劉O佑")</f>
        <v>劉O佑</v>
      </c>
      <c r="C1314" s="9" t="str">
        <f>IFERROR(__xludf.DUMMYFUNCTION("""COMPUTED_VALUE"""),"eai*****0803@gmail.com")</f>
        <v>eai*****0803@gmail.com</v>
      </c>
      <c r="D1314" s="9" t="str">
        <f>IFERROR(__xludf.DUMMYFUNCTION("""COMPUTED_VALUE"""),"四維學校財團法人花蓮縣四維高級中學")</f>
        <v>四維學校財團法人花蓮縣四維高級中學</v>
      </c>
      <c r="E1314" s="9" t="str">
        <f>IFERROR(__xludf.DUMMYFUNCTION("""COMPUTED_VALUE"""),"普通科")</f>
        <v>普通科</v>
      </c>
      <c r="F1314" s="9" t="str">
        <f>IFERROR(__xludf.DUMMYFUNCTION("""COMPUTED_VALUE"""),"二年級")</f>
        <v>二年級</v>
      </c>
      <c r="G1314" s="10" t="str">
        <f>IFERROR(__xludf.DUMMYFUNCTION("""COMPUTED_VALUE"""),"○商品卡$500")</f>
        <v>○商品卡$500</v>
      </c>
      <c r="H1314" s="9"/>
    </row>
    <row r="1315">
      <c r="A1315" s="5" t="s">
        <v>9</v>
      </c>
      <c r="B1315" s="9" t="str">
        <f>IFERROR(__xludf.DUMMYFUNCTION("""COMPUTED_VALUE"""),"黃O姸")</f>
        <v>黃O姸</v>
      </c>
      <c r="C1315" s="9" t="str">
        <f>IFERROR(__xludf.DUMMYFUNCTION("""COMPUTED_VALUE"""),"u09*****925@gmail.com")</f>
        <v>u09*****925@gmail.com</v>
      </c>
      <c r="D1315" s="9" t="str">
        <f>IFERROR(__xludf.DUMMYFUNCTION("""COMPUTED_VALUE"""),"四維學校財團法人花蓮縣四維高級中學")</f>
        <v>四維學校財團法人花蓮縣四維高級中學</v>
      </c>
      <c r="E1315" s="9" t="str">
        <f>IFERROR(__xludf.DUMMYFUNCTION("""COMPUTED_VALUE"""),"普通科")</f>
        <v>普通科</v>
      </c>
      <c r="F1315" s="9" t="str">
        <f>IFERROR(__xludf.DUMMYFUNCTION("""COMPUTED_VALUE"""),"二年級")</f>
        <v>二年級</v>
      </c>
      <c r="G1315" s="10" t="str">
        <f>IFERROR(__xludf.DUMMYFUNCTION("""COMPUTED_VALUE"""),"獎狀")</f>
        <v>獎狀</v>
      </c>
      <c r="H1315" s="9"/>
    </row>
    <row r="1316">
      <c r="A1316" s="5" t="s">
        <v>9</v>
      </c>
      <c r="B1316" s="9" t="str">
        <f>IFERROR(__xludf.DUMMYFUNCTION("""COMPUTED_VALUE"""),"吳O鈞")</f>
        <v>吳O鈞</v>
      </c>
      <c r="C1316" s="9" t="str">
        <f>IFERROR(__xludf.DUMMYFUNCTION("""COMPUTED_VALUE"""),"s47*****7@gmail.com")</f>
        <v>s47*****7@gmail.com</v>
      </c>
      <c r="D1316" s="9" t="str">
        <f>IFERROR(__xludf.DUMMYFUNCTION("""COMPUTED_VALUE"""),"四維學校財團法人花蓮縣四維高級中學")</f>
        <v>四維學校財團法人花蓮縣四維高級中學</v>
      </c>
      <c r="E1316" s="9" t="str">
        <f>IFERROR(__xludf.DUMMYFUNCTION("""COMPUTED_VALUE"""),"普通科")</f>
        <v>普通科</v>
      </c>
      <c r="F1316" s="9" t="str">
        <f>IFERROR(__xludf.DUMMYFUNCTION("""COMPUTED_VALUE"""),"二年級")</f>
        <v>二年級</v>
      </c>
      <c r="G1316" s="10" t="str">
        <f>IFERROR(__xludf.DUMMYFUNCTION("""COMPUTED_VALUE"""),"獎狀")</f>
        <v>獎狀</v>
      </c>
      <c r="H1316" s="9"/>
    </row>
    <row r="1317">
      <c r="A1317" s="5" t="s">
        <v>9</v>
      </c>
      <c r="B1317" s="9" t="str">
        <f>IFERROR(__xludf.DUMMYFUNCTION("""COMPUTED_VALUE"""),"林O樂")</f>
        <v>林O樂</v>
      </c>
      <c r="C1317" s="9" t="str">
        <f>IFERROR(__xludf.DUMMYFUNCTION("""COMPUTED_VALUE"""),"s31*****swsh.hlc.edu.tw")</f>
        <v>s31*****swsh.hlc.edu.tw</v>
      </c>
      <c r="D1317" s="9" t="str">
        <f>IFERROR(__xludf.DUMMYFUNCTION("""COMPUTED_VALUE"""),"四維學校財團法人花蓮縣四維高級中學")</f>
        <v>四維學校財團法人花蓮縣四維高級中學</v>
      </c>
      <c r="E1317" s="9" t="str">
        <f>IFERROR(__xludf.DUMMYFUNCTION("""COMPUTED_VALUE"""),"普通科")</f>
        <v>普通科</v>
      </c>
      <c r="F1317" s="9" t="str">
        <f>IFERROR(__xludf.DUMMYFUNCTION("""COMPUTED_VALUE"""),"二年級")</f>
        <v>二年級</v>
      </c>
      <c r="G1317" s="10" t="str">
        <f>IFERROR(__xludf.DUMMYFUNCTION("""COMPUTED_VALUE"""),"獎狀")</f>
        <v>獎狀</v>
      </c>
      <c r="H1317" s="9"/>
    </row>
    <row r="1318">
      <c r="A1318" s="5" t="s">
        <v>9</v>
      </c>
      <c r="B1318" s="9" t="str">
        <f>IFERROR(__xludf.DUMMYFUNCTION("""COMPUTED_VALUE"""),"鄭O予")</f>
        <v>鄭O予</v>
      </c>
      <c r="C1318" s="9" t="str">
        <f>IFERROR(__xludf.DUMMYFUNCTION("""COMPUTED_VALUE"""),"zhe*****198@gmail.com")</f>
        <v>zhe*****198@gmail.com</v>
      </c>
      <c r="D1318" s="9" t="str">
        <f>IFERROR(__xludf.DUMMYFUNCTION("""COMPUTED_VALUE"""),"四維學校財團法人花蓮縣四維高級中學")</f>
        <v>四維學校財團法人花蓮縣四維高級中學</v>
      </c>
      <c r="E1318" s="9" t="str">
        <f>IFERROR(__xludf.DUMMYFUNCTION("""COMPUTED_VALUE"""),"普通科")</f>
        <v>普通科</v>
      </c>
      <c r="F1318" s="9" t="str">
        <f>IFERROR(__xludf.DUMMYFUNCTION("""COMPUTED_VALUE"""),"二年級")</f>
        <v>二年級</v>
      </c>
      <c r="G1318" s="10" t="str">
        <f>IFERROR(__xludf.DUMMYFUNCTION("""COMPUTED_VALUE"""),"獎狀")</f>
        <v>獎狀</v>
      </c>
      <c r="H1318" s="9"/>
    </row>
    <row r="1319">
      <c r="A1319" s="5" t="s">
        <v>9</v>
      </c>
      <c r="B1319" s="9" t="str">
        <f>IFERROR(__xludf.DUMMYFUNCTION("""COMPUTED_VALUE"""),"卓O樂")</f>
        <v>卓O樂</v>
      </c>
      <c r="C1319" s="9" t="str">
        <f>IFERROR(__xludf.DUMMYFUNCTION("""COMPUTED_VALUE"""),"s31*****swsh.hlc.edu.tw")</f>
        <v>s31*****swsh.hlc.edu.tw</v>
      </c>
      <c r="D1319" s="9" t="str">
        <f>IFERROR(__xludf.DUMMYFUNCTION("""COMPUTED_VALUE"""),"四維學校財團法人花蓮縣四維高級中學")</f>
        <v>四維學校財團法人花蓮縣四維高級中學</v>
      </c>
      <c r="E1319" s="9" t="str">
        <f>IFERROR(__xludf.DUMMYFUNCTION("""COMPUTED_VALUE"""),"普通科")</f>
        <v>普通科</v>
      </c>
      <c r="F1319" s="9" t="str">
        <f>IFERROR(__xludf.DUMMYFUNCTION("""COMPUTED_VALUE"""),"二年級")</f>
        <v>二年級</v>
      </c>
      <c r="G1319" s="10" t="str">
        <f>IFERROR(__xludf.DUMMYFUNCTION("""COMPUTED_VALUE"""),"獎狀")</f>
        <v>獎狀</v>
      </c>
      <c r="H1319" s="9"/>
    </row>
    <row r="1320">
      <c r="A1320" s="5" t="s">
        <v>9</v>
      </c>
      <c r="B1320" s="9" t="str">
        <f>IFERROR(__xludf.DUMMYFUNCTION("""COMPUTED_VALUE"""),"陳O妍")</f>
        <v>陳O妍</v>
      </c>
      <c r="C1320" s="9" t="str">
        <f>IFERROR(__xludf.DUMMYFUNCTION("""COMPUTED_VALUE"""),"s31*****swsh.hlc.edu.tw")</f>
        <v>s31*****swsh.hlc.edu.tw</v>
      </c>
      <c r="D1320" s="9" t="str">
        <f>IFERROR(__xludf.DUMMYFUNCTION("""COMPUTED_VALUE"""),"四維學校財團法人花蓮縣四維高級中學")</f>
        <v>四維學校財團法人花蓮縣四維高級中學</v>
      </c>
      <c r="E1320" s="9" t="str">
        <f>IFERROR(__xludf.DUMMYFUNCTION("""COMPUTED_VALUE"""),"普通科")</f>
        <v>普通科</v>
      </c>
      <c r="F1320" s="9" t="str">
        <f>IFERROR(__xludf.DUMMYFUNCTION("""COMPUTED_VALUE"""),"二年級")</f>
        <v>二年級</v>
      </c>
      <c r="G1320" s="10" t="str">
        <f>IFERROR(__xludf.DUMMYFUNCTION("""COMPUTED_VALUE"""),"獎狀")</f>
        <v>獎狀</v>
      </c>
      <c r="H1320" s="9"/>
    </row>
    <row r="1321">
      <c r="A1321" s="5" t="s">
        <v>9</v>
      </c>
      <c r="B1321" s="9" t="str">
        <f>IFERROR(__xludf.DUMMYFUNCTION("""COMPUTED_VALUE"""),"許O恩")</f>
        <v>許O恩</v>
      </c>
      <c r="C1321" s="9" t="str">
        <f>IFERROR(__xludf.DUMMYFUNCTION("""COMPUTED_VALUE"""),"xuz*****o@gmail.com")</f>
        <v>xuz*****o@gmail.com</v>
      </c>
      <c r="D1321" s="9" t="str">
        <f>IFERROR(__xludf.DUMMYFUNCTION("""COMPUTED_VALUE"""),"四維學校財團法人花蓮縣四維高級中學")</f>
        <v>四維學校財團法人花蓮縣四維高級中學</v>
      </c>
      <c r="E1321" s="9" t="str">
        <f>IFERROR(__xludf.DUMMYFUNCTION("""COMPUTED_VALUE"""),"普通科")</f>
        <v>普通科</v>
      </c>
      <c r="F1321" s="9" t="str">
        <f>IFERROR(__xludf.DUMMYFUNCTION("""COMPUTED_VALUE"""),"二年級")</f>
        <v>二年級</v>
      </c>
      <c r="G1321" s="10" t="str">
        <f>IFERROR(__xludf.DUMMYFUNCTION("""COMPUTED_VALUE"""),"獎狀")</f>
        <v>獎狀</v>
      </c>
      <c r="H1321" s="9"/>
    </row>
    <row r="1322">
      <c r="A1322" s="5" t="s">
        <v>9</v>
      </c>
      <c r="B1322" s="9" t="str">
        <f>IFERROR(__xludf.DUMMYFUNCTION("""COMPUTED_VALUE"""),"余O萱")</f>
        <v>余O萱</v>
      </c>
      <c r="C1322" s="9" t="str">
        <f>IFERROR(__xludf.DUMMYFUNCTION("""COMPUTED_VALUE"""),"s31*****swsh.hlc.edu.tw")</f>
        <v>s31*****swsh.hlc.edu.tw</v>
      </c>
      <c r="D1322" s="9" t="str">
        <f>IFERROR(__xludf.DUMMYFUNCTION("""COMPUTED_VALUE"""),"四維學校財團法人花蓮縣四維高級中學")</f>
        <v>四維學校財團法人花蓮縣四維高級中學</v>
      </c>
      <c r="E1322" s="9" t="str">
        <f>IFERROR(__xludf.DUMMYFUNCTION("""COMPUTED_VALUE"""),"普通科")</f>
        <v>普通科</v>
      </c>
      <c r="F1322" s="9" t="str">
        <f>IFERROR(__xludf.DUMMYFUNCTION("""COMPUTED_VALUE"""),"二年級")</f>
        <v>二年級</v>
      </c>
      <c r="G1322" s="10" t="str">
        <f>IFERROR(__xludf.DUMMYFUNCTION("""COMPUTED_VALUE"""),"獎狀")</f>
        <v>獎狀</v>
      </c>
      <c r="H1322" s="9"/>
    </row>
    <row r="1323">
      <c r="A1323" s="5" t="s">
        <v>9</v>
      </c>
      <c r="B1323" s="9" t="str">
        <f>IFERROR(__xludf.DUMMYFUNCTION("""COMPUTED_VALUE"""),"黃O誠")</f>
        <v>黃O誠</v>
      </c>
      <c r="C1323" s="9" t="str">
        <f>IFERROR(__xludf.DUMMYFUNCTION("""COMPUTED_VALUE"""),"inn*****112@gmail.com")</f>
        <v>inn*****112@gmail.com</v>
      </c>
      <c r="D1323" s="9" t="str">
        <f>IFERROR(__xludf.DUMMYFUNCTION("""COMPUTED_VALUE"""),"四維學校財團法人花蓮縣四維高級中學")</f>
        <v>四維學校財團法人花蓮縣四維高級中學</v>
      </c>
      <c r="E1323" s="9" t="str">
        <f>IFERROR(__xludf.DUMMYFUNCTION("""COMPUTED_VALUE"""),"普通科")</f>
        <v>普通科</v>
      </c>
      <c r="F1323" s="9" t="str">
        <f>IFERROR(__xludf.DUMMYFUNCTION("""COMPUTED_VALUE"""),"三年級")</f>
        <v>三年級</v>
      </c>
      <c r="G1323" s="10" t="str">
        <f>IFERROR(__xludf.DUMMYFUNCTION("""COMPUTED_VALUE"""),"獎狀")</f>
        <v>獎狀</v>
      </c>
      <c r="H1323" s="9"/>
    </row>
    <row r="1324">
      <c r="A1324" s="5" t="s">
        <v>9</v>
      </c>
      <c r="B1324" s="9" t="str">
        <f>IFERROR(__xludf.DUMMYFUNCTION("""COMPUTED_VALUE"""),"簡O洋")</f>
        <v>簡O洋</v>
      </c>
      <c r="C1324" s="9" t="str">
        <f>IFERROR(__xludf.DUMMYFUNCTION("""COMPUTED_VALUE"""),"oce*****019@gmail.com")</f>
        <v>oce*****019@gmail.com</v>
      </c>
      <c r="D1324" s="9" t="str">
        <f>IFERROR(__xludf.DUMMYFUNCTION("""COMPUTED_VALUE"""),"四維學校財團法人花蓮縣四維高級中學")</f>
        <v>四維學校財團法人花蓮縣四維高級中學</v>
      </c>
      <c r="E1324" s="9" t="str">
        <f>IFERROR(__xludf.DUMMYFUNCTION("""COMPUTED_VALUE"""),"普通科")</f>
        <v>普通科</v>
      </c>
      <c r="F1324" s="9" t="str">
        <f>IFERROR(__xludf.DUMMYFUNCTION("""COMPUTED_VALUE"""),"三年級")</f>
        <v>三年級</v>
      </c>
      <c r="G1324" s="10" t="str">
        <f>IFERROR(__xludf.DUMMYFUNCTION("""COMPUTED_VALUE"""),"★商品卡$1000")</f>
        <v>★商品卡$1000</v>
      </c>
      <c r="H1324" s="9"/>
    </row>
    <row r="1325">
      <c r="A1325" s="5" t="s">
        <v>9</v>
      </c>
      <c r="B1325" s="9" t="str">
        <f>IFERROR(__xludf.DUMMYFUNCTION("""COMPUTED_VALUE"""),"李O妤")</f>
        <v>李O妤</v>
      </c>
      <c r="C1325" s="9" t="str">
        <f>IFERROR(__xludf.DUMMYFUNCTION("""COMPUTED_VALUE"""),"pag*****38@gmail.com")</f>
        <v>pag*****38@gmail.com</v>
      </c>
      <c r="D1325" s="9" t="str">
        <f>IFERROR(__xludf.DUMMYFUNCTION("""COMPUTED_VALUE"""),"四維學校財團法人花蓮縣四維高級中學")</f>
        <v>四維學校財團法人花蓮縣四維高級中學</v>
      </c>
      <c r="E1325" s="9" t="str">
        <f>IFERROR(__xludf.DUMMYFUNCTION("""COMPUTED_VALUE"""),"普通科")</f>
        <v>普通科</v>
      </c>
      <c r="F1325" s="9" t="str">
        <f>IFERROR(__xludf.DUMMYFUNCTION("""COMPUTED_VALUE"""),"三年級")</f>
        <v>三年級</v>
      </c>
      <c r="G1325" s="10" t="str">
        <f>IFERROR(__xludf.DUMMYFUNCTION("""COMPUTED_VALUE"""),"獎狀")</f>
        <v>獎狀</v>
      </c>
      <c r="H1325" s="9"/>
    </row>
    <row r="1326">
      <c r="A1326" s="5" t="s">
        <v>9</v>
      </c>
      <c r="B1326" s="9" t="str">
        <f>IFERROR(__xludf.DUMMYFUNCTION("""COMPUTED_VALUE"""),"林O蓁")</f>
        <v>林O蓁</v>
      </c>
      <c r="C1326" s="9" t="str">
        <f>IFERROR(__xludf.DUMMYFUNCTION("""COMPUTED_VALUE"""),"app*****510@gmail.com")</f>
        <v>app*****510@gmail.com</v>
      </c>
      <c r="D1326" s="9" t="str">
        <f>IFERROR(__xludf.DUMMYFUNCTION("""COMPUTED_VALUE"""),"四維學校財團法人花蓮縣四維高級中學")</f>
        <v>四維學校財團法人花蓮縣四維高級中學</v>
      </c>
      <c r="E1326" s="9" t="str">
        <f>IFERROR(__xludf.DUMMYFUNCTION("""COMPUTED_VALUE"""),"普通科")</f>
        <v>普通科</v>
      </c>
      <c r="F1326" s="9" t="str">
        <f>IFERROR(__xludf.DUMMYFUNCTION("""COMPUTED_VALUE"""),"三年級")</f>
        <v>三年級</v>
      </c>
      <c r="G1326" s="10" t="str">
        <f>IFERROR(__xludf.DUMMYFUNCTION("""COMPUTED_VALUE"""),"獎狀")</f>
        <v>獎狀</v>
      </c>
      <c r="H1326" s="9"/>
    </row>
    <row r="1327">
      <c r="A1327" s="5" t="s">
        <v>9</v>
      </c>
      <c r="B1327" s="9" t="str">
        <f>IFERROR(__xludf.DUMMYFUNCTION("""COMPUTED_VALUE"""),"邱O程")</f>
        <v>邱O程</v>
      </c>
      <c r="C1327" s="9" t="str">
        <f>IFERROR(__xludf.DUMMYFUNCTION("""COMPUTED_VALUE"""),"gix*****mail.com")</f>
        <v>gix*****mail.com</v>
      </c>
      <c r="D1327" s="9" t="str">
        <f>IFERROR(__xludf.DUMMYFUNCTION("""COMPUTED_VALUE"""),"四維學校財團法人花蓮縣四維高級中學")</f>
        <v>四維學校財團法人花蓮縣四維高級中學</v>
      </c>
      <c r="E1327" s="9" t="str">
        <f>IFERROR(__xludf.DUMMYFUNCTION("""COMPUTED_VALUE"""),"普通科")</f>
        <v>普通科</v>
      </c>
      <c r="F1327" s="9" t="str">
        <f>IFERROR(__xludf.DUMMYFUNCTION("""COMPUTED_VALUE"""),"三年級")</f>
        <v>三年級</v>
      </c>
      <c r="G1327" s="10" t="str">
        <f>IFERROR(__xludf.DUMMYFUNCTION("""COMPUTED_VALUE"""),"獎狀")</f>
        <v>獎狀</v>
      </c>
      <c r="H1327" s="9"/>
    </row>
    <row r="1328">
      <c r="A1328" s="5" t="s">
        <v>9</v>
      </c>
      <c r="B1328" s="9" t="str">
        <f>IFERROR(__xludf.DUMMYFUNCTION("""COMPUTED_VALUE"""),"許O嘉")</f>
        <v>許O嘉</v>
      </c>
      <c r="C1328" s="9" t="str">
        <f>IFERROR(__xludf.DUMMYFUNCTION("""COMPUTED_VALUE"""),"081*****ia@gmail.com")</f>
        <v>081*****ia@gmail.com</v>
      </c>
      <c r="D1328" s="9" t="str">
        <f>IFERROR(__xludf.DUMMYFUNCTION("""COMPUTED_VALUE"""),"四維學校財團法人花蓮縣四維高級中學")</f>
        <v>四維學校財團法人花蓮縣四維高級中學</v>
      </c>
      <c r="E1328" s="9" t="str">
        <f>IFERROR(__xludf.DUMMYFUNCTION("""COMPUTED_VALUE"""),"普通科")</f>
        <v>普通科</v>
      </c>
      <c r="F1328" s="9" t="str">
        <f>IFERROR(__xludf.DUMMYFUNCTION("""COMPUTED_VALUE"""),"三年級")</f>
        <v>三年級</v>
      </c>
      <c r="G1328" s="10" t="str">
        <f>IFERROR(__xludf.DUMMYFUNCTION("""COMPUTED_VALUE"""),"■商品卡$200")</f>
        <v>■商品卡$200</v>
      </c>
      <c r="H1328" s="9"/>
    </row>
    <row r="1329">
      <c r="A1329" s="5" t="s">
        <v>9</v>
      </c>
      <c r="B1329" s="9" t="str">
        <f>IFERROR(__xludf.DUMMYFUNCTION("""COMPUTED_VALUE"""),"李O瑀")</f>
        <v>李O瑀</v>
      </c>
      <c r="C1329" s="9" t="str">
        <f>IFERROR(__xludf.DUMMYFUNCTION("""COMPUTED_VALUE"""),"liw*****ngirl@gmail.com")</f>
        <v>liw*****ngirl@gmail.com</v>
      </c>
      <c r="D1329" s="9" t="str">
        <f>IFERROR(__xludf.DUMMYFUNCTION("""COMPUTED_VALUE"""),"四維學校財團法人花蓮縣四維高級中學")</f>
        <v>四維學校財團法人花蓮縣四維高級中學</v>
      </c>
      <c r="E1329" s="9" t="str">
        <f>IFERROR(__xludf.DUMMYFUNCTION("""COMPUTED_VALUE"""),"普通科")</f>
        <v>普通科</v>
      </c>
      <c r="F1329" s="9" t="str">
        <f>IFERROR(__xludf.DUMMYFUNCTION("""COMPUTED_VALUE"""),"三年級")</f>
        <v>三年級</v>
      </c>
      <c r="G1329" s="10" t="str">
        <f>IFERROR(__xludf.DUMMYFUNCTION("""COMPUTED_VALUE"""),"獎狀")</f>
        <v>獎狀</v>
      </c>
      <c r="H1329" s="9"/>
    </row>
    <row r="1330">
      <c r="A1330" s="5" t="s">
        <v>9</v>
      </c>
      <c r="B1330" s="9" t="str">
        <f>IFERROR(__xludf.DUMMYFUNCTION("""COMPUTED_VALUE"""),"彭O容")</f>
        <v>彭O容</v>
      </c>
      <c r="C1330" s="9" t="str">
        <f>IFERROR(__xludf.DUMMYFUNCTION("""COMPUTED_VALUE"""),"jua*****peng@gmail.com")</f>
        <v>jua*****peng@gmail.com</v>
      </c>
      <c r="D1330" s="9" t="str">
        <f>IFERROR(__xludf.DUMMYFUNCTION("""COMPUTED_VALUE"""),"四維學校財團法人花蓮縣四維高級中學")</f>
        <v>四維學校財團法人花蓮縣四維高級中學</v>
      </c>
      <c r="E1330" s="9" t="str">
        <f>IFERROR(__xludf.DUMMYFUNCTION("""COMPUTED_VALUE"""),"普通科")</f>
        <v>普通科</v>
      </c>
      <c r="F1330" s="9" t="str">
        <f>IFERROR(__xludf.DUMMYFUNCTION("""COMPUTED_VALUE"""),"三年級")</f>
        <v>三年級</v>
      </c>
      <c r="G1330" s="10" t="str">
        <f>IFERROR(__xludf.DUMMYFUNCTION("""COMPUTED_VALUE"""),"獎狀")</f>
        <v>獎狀</v>
      </c>
      <c r="H1330" s="9"/>
    </row>
    <row r="1331">
      <c r="A1331" s="5" t="s">
        <v>9</v>
      </c>
      <c r="B1331" s="9" t="str">
        <f>IFERROR(__xludf.DUMMYFUNCTION("""COMPUTED_VALUE"""),"吳O達")</f>
        <v>吳O達</v>
      </c>
      <c r="C1331" s="9" t="str">
        <f>IFERROR(__xludf.DUMMYFUNCTION("""COMPUTED_VALUE"""),"s21*****swsh.hlc.edu.tw")</f>
        <v>s21*****swsh.hlc.edu.tw</v>
      </c>
      <c r="D1331" s="9" t="str">
        <f>IFERROR(__xludf.DUMMYFUNCTION("""COMPUTED_VALUE"""),"四維學校財團法人花蓮縣四維高級中學")</f>
        <v>四維學校財團法人花蓮縣四維高級中學</v>
      </c>
      <c r="E1331" s="9" t="str">
        <f>IFERROR(__xludf.DUMMYFUNCTION("""COMPUTED_VALUE"""),"普通科")</f>
        <v>普通科</v>
      </c>
      <c r="F1331" s="9" t="str">
        <f>IFERROR(__xludf.DUMMYFUNCTION("""COMPUTED_VALUE"""),"三年級")</f>
        <v>三年級</v>
      </c>
      <c r="G1331" s="10" t="str">
        <f>IFERROR(__xludf.DUMMYFUNCTION("""COMPUTED_VALUE"""),"獎狀")</f>
        <v>獎狀</v>
      </c>
      <c r="H1331" s="9"/>
    </row>
    <row r="1332">
      <c r="A1332" s="5" t="s">
        <v>9</v>
      </c>
      <c r="B1332" s="9" t="str">
        <f>IFERROR(__xludf.DUMMYFUNCTION("""COMPUTED_VALUE"""),"羅O晉")</f>
        <v>羅O晉</v>
      </c>
      <c r="C1332" s="9" t="str">
        <f>IFERROR(__xludf.DUMMYFUNCTION("""COMPUTED_VALUE"""),"s21*****swsh.hlc.edu.tw")</f>
        <v>s21*****swsh.hlc.edu.tw</v>
      </c>
      <c r="D1332" s="9" t="str">
        <f>IFERROR(__xludf.DUMMYFUNCTION("""COMPUTED_VALUE"""),"四維學校財團法人花蓮縣四維高級中學")</f>
        <v>四維學校財團法人花蓮縣四維高級中學</v>
      </c>
      <c r="E1332" s="9" t="str">
        <f>IFERROR(__xludf.DUMMYFUNCTION("""COMPUTED_VALUE"""),"普通科")</f>
        <v>普通科</v>
      </c>
      <c r="F1332" s="9" t="str">
        <f>IFERROR(__xludf.DUMMYFUNCTION("""COMPUTED_VALUE"""),"三年級")</f>
        <v>三年級</v>
      </c>
      <c r="G1332" s="10" t="str">
        <f>IFERROR(__xludf.DUMMYFUNCTION("""COMPUTED_VALUE"""),"獎狀")</f>
        <v>獎狀</v>
      </c>
      <c r="H1332" s="9"/>
    </row>
    <row r="1333">
      <c r="A1333" s="5" t="s">
        <v>9</v>
      </c>
      <c r="B1333" s="9" t="str">
        <f>IFERROR(__xludf.DUMMYFUNCTION("""COMPUTED_VALUE"""),"廖O靖")</f>
        <v>廖O靖</v>
      </c>
      <c r="C1333" s="9" t="str">
        <f>IFERROR(__xludf.DUMMYFUNCTION("""COMPUTED_VALUE"""),"lyj*****114@gmail.com")</f>
        <v>lyj*****114@gmail.com</v>
      </c>
      <c r="D1333" s="9" t="str">
        <f>IFERROR(__xludf.DUMMYFUNCTION("""COMPUTED_VALUE"""),"四維學校財團法人花蓮縣四維高級中學")</f>
        <v>四維學校財團法人花蓮縣四維高級中學</v>
      </c>
      <c r="E1333" s="9" t="str">
        <f>IFERROR(__xludf.DUMMYFUNCTION("""COMPUTED_VALUE"""),"普通科")</f>
        <v>普通科</v>
      </c>
      <c r="F1333" s="9" t="str">
        <f>IFERROR(__xludf.DUMMYFUNCTION("""COMPUTED_VALUE"""),"三年級")</f>
        <v>三年級</v>
      </c>
      <c r="G1333" s="10" t="str">
        <f>IFERROR(__xludf.DUMMYFUNCTION("""COMPUTED_VALUE"""),"獎狀")</f>
        <v>獎狀</v>
      </c>
      <c r="H1333" s="9"/>
    </row>
    <row r="1334">
      <c r="A1334" s="5" t="s">
        <v>9</v>
      </c>
      <c r="B1334" s="9" t="str">
        <f>IFERROR(__xludf.DUMMYFUNCTION("""COMPUTED_VALUE"""),"黃O翔")</f>
        <v>黃O翔</v>
      </c>
      <c r="C1334" s="9" t="str">
        <f>IFERROR(__xludf.DUMMYFUNCTION("""COMPUTED_VALUE"""),"s21*****swsh.hlc.edu.tw")</f>
        <v>s21*****swsh.hlc.edu.tw</v>
      </c>
      <c r="D1334" s="9" t="str">
        <f>IFERROR(__xludf.DUMMYFUNCTION("""COMPUTED_VALUE"""),"四維學校財團法人花蓮縣四維高級中學")</f>
        <v>四維學校財團法人花蓮縣四維高級中學</v>
      </c>
      <c r="E1334" s="9" t="str">
        <f>IFERROR(__xludf.DUMMYFUNCTION("""COMPUTED_VALUE"""),"普通科")</f>
        <v>普通科</v>
      </c>
      <c r="F1334" s="9" t="str">
        <f>IFERROR(__xludf.DUMMYFUNCTION("""COMPUTED_VALUE"""),"三年級")</f>
        <v>三年級</v>
      </c>
      <c r="G1334" s="10" t="str">
        <f>IFERROR(__xludf.DUMMYFUNCTION("""COMPUTED_VALUE"""),"獎狀")</f>
        <v>獎狀</v>
      </c>
      <c r="H1334" s="9"/>
    </row>
    <row r="1335">
      <c r="A1335" s="5" t="s">
        <v>9</v>
      </c>
      <c r="B1335" s="9" t="str">
        <f>IFERROR(__xludf.DUMMYFUNCTION("""COMPUTED_VALUE"""),"張O宇")</f>
        <v>張O宇</v>
      </c>
      <c r="C1335" s="9" t="str">
        <f>IFERROR(__xludf.DUMMYFUNCTION("""COMPUTED_VALUE"""),"s21*****swsh.hlc.edu.tw")</f>
        <v>s21*****swsh.hlc.edu.tw</v>
      </c>
      <c r="D1335" s="9" t="str">
        <f>IFERROR(__xludf.DUMMYFUNCTION("""COMPUTED_VALUE"""),"四維學校財團法人花蓮縣四維高級中學")</f>
        <v>四維學校財團法人花蓮縣四維高級中學</v>
      </c>
      <c r="E1335" s="9" t="str">
        <f>IFERROR(__xludf.DUMMYFUNCTION("""COMPUTED_VALUE"""),"普通科")</f>
        <v>普通科</v>
      </c>
      <c r="F1335" s="9" t="str">
        <f>IFERROR(__xludf.DUMMYFUNCTION("""COMPUTED_VALUE"""),"三年級")</f>
        <v>三年級</v>
      </c>
      <c r="G1335" s="10" t="str">
        <f>IFERROR(__xludf.DUMMYFUNCTION("""COMPUTED_VALUE"""),"○商品卡$500")</f>
        <v>○商品卡$500</v>
      </c>
      <c r="H1335" s="9"/>
    </row>
    <row r="1336">
      <c r="A1336" s="5" t="s">
        <v>9</v>
      </c>
      <c r="B1336" s="9" t="str">
        <f>IFERROR(__xludf.DUMMYFUNCTION("""COMPUTED_VALUE"""),"林O恆")</f>
        <v>林O恆</v>
      </c>
      <c r="C1336" s="9" t="str">
        <f>IFERROR(__xludf.DUMMYFUNCTION("""COMPUTED_VALUE"""),"s21*****swsh.hlc.edu.tw")</f>
        <v>s21*****swsh.hlc.edu.tw</v>
      </c>
      <c r="D1336" s="9" t="str">
        <f>IFERROR(__xludf.DUMMYFUNCTION("""COMPUTED_VALUE"""),"四維學校財團法人花蓮縣四維高級中學")</f>
        <v>四維學校財團法人花蓮縣四維高級中學</v>
      </c>
      <c r="E1336" s="9" t="str">
        <f>IFERROR(__xludf.DUMMYFUNCTION("""COMPUTED_VALUE"""),"普通科")</f>
        <v>普通科</v>
      </c>
      <c r="F1336" s="9" t="str">
        <f>IFERROR(__xludf.DUMMYFUNCTION("""COMPUTED_VALUE"""),"三年級")</f>
        <v>三年級</v>
      </c>
      <c r="G1336" s="10" t="str">
        <f>IFERROR(__xludf.DUMMYFUNCTION("""COMPUTED_VALUE"""),"獎狀")</f>
        <v>獎狀</v>
      </c>
      <c r="H1336" s="9"/>
    </row>
    <row r="1337">
      <c r="A1337" s="5" t="s">
        <v>9</v>
      </c>
      <c r="B1337" s="9" t="str">
        <f>IFERROR(__xludf.DUMMYFUNCTION("""COMPUTED_VALUE"""),"林O睿")</f>
        <v>林O睿</v>
      </c>
      <c r="C1337" s="9" t="str">
        <f>IFERROR(__xludf.DUMMYFUNCTION("""COMPUTED_VALUE"""),"201*****ray@gmail.com")</f>
        <v>201*****ray@gmail.com</v>
      </c>
      <c r="D1337" s="9" t="str">
        <f>IFERROR(__xludf.DUMMYFUNCTION("""COMPUTED_VALUE"""),"慈濟學校財團法人慈濟大學附屬高級中學")</f>
        <v>慈濟學校財團法人慈濟大學附屬高級中學</v>
      </c>
      <c r="E1337" s="9" t="str">
        <f>IFERROR(__xludf.DUMMYFUNCTION("""COMPUTED_VALUE"""),"普通科")</f>
        <v>普通科</v>
      </c>
      <c r="F1337" s="9" t="str">
        <f>IFERROR(__xludf.DUMMYFUNCTION("""COMPUTED_VALUE"""),"一年級")</f>
        <v>一年級</v>
      </c>
      <c r="G1337" s="10" t="str">
        <f>IFERROR(__xludf.DUMMYFUNCTION("""COMPUTED_VALUE"""),"獎狀")</f>
        <v>獎狀</v>
      </c>
      <c r="H1337" s="9"/>
    </row>
    <row r="1338">
      <c r="A1338" s="5" t="s">
        <v>9</v>
      </c>
      <c r="B1338" s="9" t="str">
        <f>IFERROR(__xludf.DUMMYFUNCTION("""COMPUTED_VALUE"""),"鍾O卉")</f>
        <v>鍾O卉</v>
      </c>
      <c r="C1338" s="9" t="str">
        <f>IFERROR(__xludf.DUMMYFUNCTION("""COMPUTED_VALUE"""),"s11*****0@tcsh.hlc.edu.tw")</f>
        <v>s11*****0@tcsh.hlc.edu.tw</v>
      </c>
      <c r="D1338" s="9" t="str">
        <f>IFERROR(__xludf.DUMMYFUNCTION("""COMPUTED_VALUE"""),"慈濟學校財團法人慈濟大學附屬高級中學")</f>
        <v>慈濟學校財團法人慈濟大學附屬高級中學</v>
      </c>
      <c r="E1338" s="9" t="str">
        <f>IFERROR(__xludf.DUMMYFUNCTION("""COMPUTED_VALUE"""),"普通科")</f>
        <v>普通科</v>
      </c>
      <c r="F1338" s="9" t="str">
        <f>IFERROR(__xludf.DUMMYFUNCTION("""COMPUTED_VALUE"""),"二年級")</f>
        <v>二年級</v>
      </c>
      <c r="G1338" s="10" t="str">
        <f>IFERROR(__xludf.DUMMYFUNCTION("""COMPUTED_VALUE"""),"■商品卡$200")</f>
        <v>■商品卡$200</v>
      </c>
      <c r="H1338" s="9"/>
    </row>
    <row r="1339">
      <c r="A1339" s="5" t="s">
        <v>9</v>
      </c>
      <c r="B1339" s="9" t="str">
        <f>IFERROR(__xludf.DUMMYFUNCTION("""COMPUTED_VALUE"""),"葉O霆")</f>
        <v>葉O霆</v>
      </c>
      <c r="C1339" s="9" t="str">
        <f>IFERROR(__xludf.DUMMYFUNCTION("""COMPUTED_VALUE"""),"s11*****7@tcsh.hlc.edu.tw")</f>
        <v>s11*****7@tcsh.hlc.edu.tw</v>
      </c>
      <c r="D1339" s="9" t="str">
        <f>IFERROR(__xludf.DUMMYFUNCTION("""COMPUTED_VALUE"""),"慈濟學校財團法人慈濟大學附屬高級中學")</f>
        <v>慈濟學校財團法人慈濟大學附屬高級中學</v>
      </c>
      <c r="E1339" s="9" t="str">
        <f>IFERROR(__xludf.DUMMYFUNCTION("""COMPUTED_VALUE"""),"普通科")</f>
        <v>普通科</v>
      </c>
      <c r="F1339" s="9" t="str">
        <f>IFERROR(__xludf.DUMMYFUNCTION("""COMPUTED_VALUE"""),"二年級")</f>
        <v>二年級</v>
      </c>
      <c r="G1339" s="10" t="str">
        <f>IFERROR(__xludf.DUMMYFUNCTION("""COMPUTED_VALUE"""),"獎狀")</f>
        <v>獎狀</v>
      </c>
      <c r="H1339" s="9"/>
    </row>
    <row r="1340">
      <c r="A1340" s="5" t="s">
        <v>9</v>
      </c>
      <c r="B1340" s="9" t="str">
        <f>IFERROR(__xludf.DUMMYFUNCTION("""COMPUTED_VALUE"""),"黃O薰")</f>
        <v>黃O薰</v>
      </c>
      <c r="C1340" s="9" t="str">
        <f>IFERROR(__xludf.DUMMYFUNCTION("""COMPUTED_VALUE"""),"s11*****6@tcsh.hlc.edu.tw")</f>
        <v>s11*****6@tcsh.hlc.edu.tw</v>
      </c>
      <c r="D1340" s="9" t="str">
        <f>IFERROR(__xludf.DUMMYFUNCTION("""COMPUTED_VALUE"""),"慈濟學校財團法人慈濟大學附屬高級中學")</f>
        <v>慈濟學校財團法人慈濟大學附屬高級中學</v>
      </c>
      <c r="E1340" s="9" t="str">
        <f>IFERROR(__xludf.DUMMYFUNCTION("""COMPUTED_VALUE"""),"普通科")</f>
        <v>普通科</v>
      </c>
      <c r="F1340" s="9" t="str">
        <f>IFERROR(__xludf.DUMMYFUNCTION("""COMPUTED_VALUE"""),"二年級")</f>
        <v>二年級</v>
      </c>
      <c r="G1340" s="10" t="str">
        <f>IFERROR(__xludf.DUMMYFUNCTION("""COMPUTED_VALUE"""),"獎狀")</f>
        <v>獎狀</v>
      </c>
      <c r="H1340" s="9"/>
    </row>
    <row r="1341">
      <c r="A1341" s="5" t="s">
        <v>9</v>
      </c>
      <c r="B1341" s="9" t="str">
        <f>IFERROR(__xludf.DUMMYFUNCTION("""COMPUTED_VALUE"""),"張O")</f>
        <v>張O</v>
      </c>
      <c r="C1341" s="9" t="str">
        <f>IFERROR(__xludf.DUMMYFUNCTION("""COMPUTED_VALUE"""),"s11*****hlhs.hlc.edu.tw")</f>
        <v>s11*****hlhs.hlc.edu.tw</v>
      </c>
      <c r="D1341" s="9" t="str">
        <f>IFERROR(__xludf.DUMMYFUNCTION("""COMPUTED_VALUE"""),"國立花蓮高級中學")</f>
        <v>國立花蓮高級中學</v>
      </c>
      <c r="E1341" s="9" t="str">
        <f>IFERROR(__xludf.DUMMYFUNCTION("""COMPUTED_VALUE"""),"普通科")</f>
        <v>普通科</v>
      </c>
      <c r="F1341" s="9" t="str">
        <f>IFERROR(__xludf.DUMMYFUNCTION("""COMPUTED_VALUE"""),"三年級")</f>
        <v>三年級</v>
      </c>
      <c r="G1341" s="10" t="str">
        <f>IFERROR(__xludf.DUMMYFUNCTION("""COMPUTED_VALUE"""),"獎狀")</f>
        <v>獎狀</v>
      </c>
      <c r="H1341" s="9"/>
    </row>
    <row r="1342">
      <c r="A1342" s="5" t="s">
        <v>9</v>
      </c>
      <c r="B1342" s="9" t="str">
        <f>IFERROR(__xludf.DUMMYFUNCTION("""COMPUTED_VALUE"""),"柳O棟")</f>
        <v>柳O棟</v>
      </c>
      <c r="C1342" s="9" t="str">
        <f>IFERROR(__xludf.DUMMYFUNCTION("""COMPUTED_VALUE"""),"s21*****hlhs.hlc.edu.tw")</f>
        <v>s21*****hlhs.hlc.edu.tw</v>
      </c>
      <c r="D1342" s="9" t="str">
        <f>IFERROR(__xludf.DUMMYFUNCTION("""COMPUTED_VALUE"""),"國立花蓮高級中學")</f>
        <v>國立花蓮高級中學</v>
      </c>
      <c r="E1342" s="9" t="str">
        <f>IFERROR(__xludf.DUMMYFUNCTION("""COMPUTED_VALUE"""),"普通科")</f>
        <v>普通科</v>
      </c>
      <c r="F1342" s="9" t="str">
        <f>IFERROR(__xludf.DUMMYFUNCTION("""COMPUTED_VALUE"""),"三年級")</f>
        <v>三年級</v>
      </c>
      <c r="G1342" s="10" t="str">
        <f>IFERROR(__xludf.DUMMYFUNCTION("""COMPUTED_VALUE"""),"獎狀")</f>
        <v>獎狀</v>
      </c>
      <c r="H1342" s="9"/>
    </row>
    <row r="1343">
      <c r="A1343" s="5" t="s">
        <v>9</v>
      </c>
      <c r="B1343" s="9" t="str">
        <f>IFERROR(__xludf.DUMMYFUNCTION("""COMPUTED_VALUE"""),"洪O智")</f>
        <v>洪O智</v>
      </c>
      <c r="C1343" s="9" t="str">
        <f>IFERROR(__xludf.DUMMYFUNCTION("""COMPUTED_VALUE"""),"s21*****hlhs.hlc.edu.tw")</f>
        <v>s21*****hlhs.hlc.edu.tw</v>
      </c>
      <c r="D1343" s="9" t="str">
        <f>IFERROR(__xludf.DUMMYFUNCTION("""COMPUTED_VALUE"""),"國立花蓮高級中學")</f>
        <v>國立花蓮高級中學</v>
      </c>
      <c r="E1343" s="9" t="str">
        <f>IFERROR(__xludf.DUMMYFUNCTION("""COMPUTED_VALUE"""),"普通科")</f>
        <v>普通科</v>
      </c>
      <c r="F1343" s="9" t="str">
        <f>IFERROR(__xludf.DUMMYFUNCTION("""COMPUTED_VALUE"""),"三年級")</f>
        <v>三年級</v>
      </c>
      <c r="G1343" s="10" t="str">
        <f>IFERROR(__xludf.DUMMYFUNCTION("""COMPUTED_VALUE"""),"獎狀")</f>
        <v>獎狀</v>
      </c>
      <c r="H1343" s="9"/>
    </row>
    <row r="1344">
      <c r="A1344" s="5" t="s">
        <v>9</v>
      </c>
      <c r="B1344" s="9" t="str">
        <f>IFERROR(__xludf.DUMMYFUNCTION("""COMPUTED_VALUE"""),"俞O安")</f>
        <v>俞O安</v>
      </c>
      <c r="C1344" s="9" t="str">
        <f>IFERROR(__xludf.DUMMYFUNCTION("""COMPUTED_VALUE"""),"s21*****hlhs.hlc.edu.tw")</f>
        <v>s21*****hlhs.hlc.edu.tw</v>
      </c>
      <c r="D1344" s="9" t="str">
        <f>IFERROR(__xludf.DUMMYFUNCTION("""COMPUTED_VALUE"""),"國立花蓮高級中學")</f>
        <v>國立花蓮高級中學</v>
      </c>
      <c r="E1344" s="9" t="str">
        <f>IFERROR(__xludf.DUMMYFUNCTION("""COMPUTED_VALUE"""),"普通科")</f>
        <v>普通科</v>
      </c>
      <c r="F1344" s="9" t="str">
        <f>IFERROR(__xludf.DUMMYFUNCTION("""COMPUTED_VALUE"""),"三年級")</f>
        <v>三年級</v>
      </c>
      <c r="G1344" s="10" t="str">
        <f>IFERROR(__xludf.DUMMYFUNCTION("""COMPUTED_VALUE"""),"獎狀")</f>
        <v>獎狀</v>
      </c>
      <c r="H1344" s="9"/>
    </row>
    <row r="1345">
      <c r="A1345" s="5" t="s">
        <v>9</v>
      </c>
      <c r="B1345" s="9" t="str">
        <f>IFERROR(__xludf.DUMMYFUNCTION("""COMPUTED_VALUE"""),"徐O羿愷")</f>
        <v>徐O羿愷</v>
      </c>
      <c r="C1345" s="9" t="str">
        <f>IFERROR(__xludf.DUMMYFUNCTION("""COMPUTED_VALUE"""),"s21*****hlhs.hlc.edu.tw")</f>
        <v>s21*****hlhs.hlc.edu.tw</v>
      </c>
      <c r="D1345" s="9" t="str">
        <f>IFERROR(__xludf.DUMMYFUNCTION("""COMPUTED_VALUE"""),"國立花蓮高級中學")</f>
        <v>國立花蓮高級中學</v>
      </c>
      <c r="E1345" s="9" t="str">
        <f>IFERROR(__xludf.DUMMYFUNCTION("""COMPUTED_VALUE"""),"普通科")</f>
        <v>普通科</v>
      </c>
      <c r="F1345" s="9" t="str">
        <f>IFERROR(__xludf.DUMMYFUNCTION("""COMPUTED_VALUE"""),"三年級")</f>
        <v>三年級</v>
      </c>
      <c r="G1345" s="10" t="str">
        <f>IFERROR(__xludf.DUMMYFUNCTION("""COMPUTED_VALUE"""),"獎狀")</f>
        <v>獎狀</v>
      </c>
      <c r="H1345" s="9"/>
    </row>
    <row r="1346">
      <c r="A1346" s="5" t="s">
        <v>9</v>
      </c>
      <c r="B1346" s="9" t="str">
        <f>IFERROR(__xludf.DUMMYFUNCTION("""COMPUTED_VALUE"""),"袁O華")</f>
        <v>袁O華</v>
      </c>
      <c r="C1346" s="9" t="str">
        <f>IFERROR(__xludf.DUMMYFUNCTION("""COMPUTED_VALUE"""),"s21*****hlhs.hlc.edu.tw")</f>
        <v>s21*****hlhs.hlc.edu.tw</v>
      </c>
      <c r="D1346" s="9" t="str">
        <f>IFERROR(__xludf.DUMMYFUNCTION("""COMPUTED_VALUE"""),"國立花蓮高級中學")</f>
        <v>國立花蓮高級中學</v>
      </c>
      <c r="E1346" s="9" t="str">
        <f>IFERROR(__xludf.DUMMYFUNCTION("""COMPUTED_VALUE"""),"普通科")</f>
        <v>普通科</v>
      </c>
      <c r="F1346" s="9" t="str">
        <f>IFERROR(__xludf.DUMMYFUNCTION("""COMPUTED_VALUE"""),"三年級")</f>
        <v>三年級</v>
      </c>
      <c r="G1346" s="10" t="str">
        <f>IFERROR(__xludf.DUMMYFUNCTION("""COMPUTED_VALUE"""),"獎狀")</f>
        <v>獎狀</v>
      </c>
      <c r="H1346" s="9"/>
    </row>
    <row r="1347">
      <c r="A1347" s="5" t="s">
        <v>9</v>
      </c>
      <c r="B1347" s="9" t="str">
        <f>IFERROR(__xludf.DUMMYFUNCTION("""COMPUTED_VALUE"""),"周O晨")</f>
        <v>周O晨</v>
      </c>
      <c r="C1347" s="9" t="str">
        <f>IFERROR(__xludf.DUMMYFUNCTION("""COMPUTED_VALUE"""),"psd*****yahoo.com.tw")</f>
        <v>psd*****yahoo.com.tw</v>
      </c>
      <c r="D1347" s="9" t="str">
        <f>IFERROR(__xludf.DUMMYFUNCTION("""COMPUTED_VALUE"""),"國立花蓮女子高級中學")</f>
        <v>國立花蓮女子高級中學</v>
      </c>
      <c r="E1347" s="9" t="str">
        <f>IFERROR(__xludf.DUMMYFUNCTION("""COMPUTED_VALUE"""),"普通科")</f>
        <v>普通科</v>
      </c>
      <c r="F1347" s="9" t="str">
        <f>IFERROR(__xludf.DUMMYFUNCTION("""COMPUTED_VALUE"""),"二年級")</f>
        <v>二年級</v>
      </c>
      <c r="G1347" s="10" t="str">
        <f>IFERROR(__xludf.DUMMYFUNCTION("""COMPUTED_VALUE"""),"獎狀")</f>
        <v>獎狀</v>
      </c>
      <c r="H1347" s="9"/>
    </row>
    <row r="1348">
      <c r="A1348" s="5" t="s">
        <v>9</v>
      </c>
      <c r="B1348" s="9" t="str">
        <f>IFERROR(__xludf.DUMMYFUNCTION("""COMPUTED_VALUE"""),"王O慈")</f>
        <v>王O慈</v>
      </c>
      <c r="C1348" s="9" t="str">
        <f>IFERROR(__xludf.DUMMYFUNCTION("""COMPUTED_VALUE"""),"111*****melodyw@tshcmc.edu.vn")</f>
        <v>111*****melodyw@tshcmc.edu.vn</v>
      </c>
      <c r="D1348" s="9" t="str">
        <f>IFERROR(__xludf.DUMMYFUNCTION("""COMPUTED_VALUE"""),"越南胡志明市臺灣學校")</f>
        <v>越南胡志明市臺灣學校</v>
      </c>
      <c r="E1348" s="9" t="str">
        <f>IFERROR(__xludf.DUMMYFUNCTION("""COMPUTED_VALUE"""),"普通科")</f>
        <v>普通科</v>
      </c>
      <c r="F1348" s="9" t="str">
        <f>IFERROR(__xludf.DUMMYFUNCTION("""COMPUTED_VALUE"""),"一年級")</f>
        <v>一年級</v>
      </c>
      <c r="G1348" s="10" t="str">
        <f>IFERROR(__xludf.DUMMYFUNCTION("""COMPUTED_VALUE"""),"■商品卡$200")</f>
        <v>■商品卡$200</v>
      </c>
      <c r="H1348" s="9"/>
    </row>
    <row r="1349">
      <c r="A1349" s="5" t="s">
        <v>9</v>
      </c>
      <c r="B1349" s="9" t="str">
        <f>IFERROR(__xludf.DUMMYFUNCTION("""COMPUTED_VALUE"""),"謝O瑜")</f>
        <v>謝O瑜</v>
      </c>
      <c r="C1349" s="9" t="str">
        <f>IFERROR(__xludf.DUMMYFUNCTION("""COMPUTED_VALUE"""),"113*****tshcmc.edu.vn")</f>
        <v>113*****tshcmc.edu.vn</v>
      </c>
      <c r="D1349" s="9" t="str">
        <f>IFERROR(__xludf.DUMMYFUNCTION("""COMPUTED_VALUE"""),"越南胡志明市臺灣學校")</f>
        <v>越南胡志明市臺灣學校</v>
      </c>
      <c r="E1349" s="9" t="str">
        <f>IFERROR(__xludf.DUMMYFUNCTION("""COMPUTED_VALUE"""),"普通科")</f>
        <v>普通科</v>
      </c>
      <c r="F1349" s="9" t="str">
        <f>IFERROR(__xludf.DUMMYFUNCTION("""COMPUTED_VALUE"""),"一年級")</f>
        <v>一年級</v>
      </c>
      <c r="G1349" s="10" t="str">
        <f>IFERROR(__xludf.DUMMYFUNCTION("""COMPUTED_VALUE"""),"獎狀")</f>
        <v>獎狀</v>
      </c>
      <c r="H1349" s="9"/>
    </row>
    <row r="1350">
      <c r="A1350" s="5" t="s">
        <v>9</v>
      </c>
      <c r="B1350" s="9" t="str">
        <f>IFERROR(__xludf.DUMMYFUNCTION("""COMPUTED_VALUE"""),"高O傑")</f>
        <v>高O傑</v>
      </c>
      <c r="C1350" s="9" t="str">
        <f>IFERROR(__xludf.DUMMYFUNCTION("""COMPUTED_VALUE"""),"113*****tshcmc.edu.vn")</f>
        <v>113*****tshcmc.edu.vn</v>
      </c>
      <c r="D1350" s="9" t="str">
        <f>IFERROR(__xludf.DUMMYFUNCTION("""COMPUTED_VALUE"""),"越南胡志明市臺灣學校")</f>
        <v>越南胡志明市臺灣學校</v>
      </c>
      <c r="E1350" s="9" t="str">
        <f>IFERROR(__xludf.DUMMYFUNCTION("""COMPUTED_VALUE"""),"普通科")</f>
        <v>普通科</v>
      </c>
      <c r="F1350" s="9" t="str">
        <f>IFERROR(__xludf.DUMMYFUNCTION("""COMPUTED_VALUE"""),"一年級")</f>
        <v>一年級</v>
      </c>
      <c r="G1350" s="10" t="str">
        <f>IFERROR(__xludf.DUMMYFUNCTION("""COMPUTED_VALUE"""),"獎狀")</f>
        <v>獎狀</v>
      </c>
      <c r="H1350" s="9"/>
    </row>
    <row r="1351">
      <c r="A1351" s="5" t="s">
        <v>9</v>
      </c>
      <c r="B1351" s="9" t="str">
        <f>IFERROR(__xludf.DUMMYFUNCTION("""COMPUTED_VALUE"""),"謝O宸")</f>
        <v>謝O宸</v>
      </c>
      <c r="C1351" s="9" t="str">
        <f>IFERROR(__xludf.DUMMYFUNCTION("""COMPUTED_VALUE"""),"113*****tshcmc.edu.vn")</f>
        <v>113*****tshcmc.edu.vn</v>
      </c>
      <c r="D1351" s="9" t="str">
        <f>IFERROR(__xludf.DUMMYFUNCTION("""COMPUTED_VALUE"""),"越南胡志明市臺灣學校")</f>
        <v>越南胡志明市臺灣學校</v>
      </c>
      <c r="E1351" s="9" t="str">
        <f>IFERROR(__xludf.DUMMYFUNCTION("""COMPUTED_VALUE"""),"普通科")</f>
        <v>普通科</v>
      </c>
      <c r="F1351" s="9" t="str">
        <f>IFERROR(__xludf.DUMMYFUNCTION("""COMPUTED_VALUE"""),"一年級")</f>
        <v>一年級</v>
      </c>
      <c r="G1351" s="10" t="str">
        <f>IFERROR(__xludf.DUMMYFUNCTION("""COMPUTED_VALUE"""),"★商品卡$1000")</f>
        <v>★商品卡$1000</v>
      </c>
      <c r="H1351" s="9"/>
    </row>
    <row r="1352">
      <c r="A1352" s="5" t="s">
        <v>9</v>
      </c>
      <c r="B1352" s="9" t="str">
        <f>IFERROR(__xludf.DUMMYFUNCTION("""COMPUTED_VALUE"""),"陳O君")</f>
        <v>陳O君</v>
      </c>
      <c r="C1352" s="9" t="str">
        <f>IFERROR(__xludf.DUMMYFUNCTION("""COMPUTED_VALUE"""),"113*****tshcmc.edu.vn")</f>
        <v>113*****tshcmc.edu.vn</v>
      </c>
      <c r="D1352" s="9" t="str">
        <f>IFERROR(__xludf.DUMMYFUNCTION("""COMPUTED_VALUE"""),"越南胡志明市臺灣學校")</f>
        <v>越南胡志明市臺灣學校</v>
      </c>
      <c r="E1352" s="9" t="str">
        <f>IFERROR(__xludf.DUMMYFUNCTION("""COMPUTED_VALUE"""),"普通科")</f>
        <v>普通科</v>
      </c>
      <c r="F1352" s="9" t="str">
        <f>IFERROR(__xludf.DUMMYFUNCTION("""COMPUTED_VALUE"""),"一年級")</f>
        <v>一年級</v>
      </c>
      <c r="G1352" s="10" t="str">
        <f>IFERROR(__xludf.DUMMYFUNCTION("""COMPUTED_VALUE"""),"■商品卡$200")</f>
        <v>■商品卡$200</v>
      </c>
      <c r="H1352" s="9"/>
    </row>
    <row r="1353">
      <c r="A1353" s="5" t="s">
        <v>9</v>
      </c>
      <c r="B1353" s="9" t="str">
        <f>IFERROR(__xludf.DUMMYFUNCTION("""COMPUTED_VALUE"""),"吳O皜")</f>
        <v>吳O皜</v>
      </c>
      <c r="C1353" s="9" t="str">
        <f>IFERROR(__xludf.DUMMYFUNCTION("""COMPUTED_VALUE"""),"113*****tshcmc.edu.vn")</f>
        <v>113*****tshcmc.edu.vn</v>
      </c>
      <c r="D1353" s="9" t="str">
        <f>IFERROR(__xludf.DUMMYFUNCTION("""COMPUTED_VALUE"""),"越南胡志明市臺灣學校")</f>
        <v>越南胡志明市臺灣學校</v>
      </c>
      <c r="E1353" s="9" t="str">
        <f>IFERROR(__xludf.DUMMYFUNCTION("""COMPUTED_VALUE"""),"普通科")</f>
        <v>普通科</v>
      </c>
      <c r="F1353" s="9" t="str">
        <f>IFERROR(__xludf.DUMMYFUNCTION("""COMPUTED_VALUE"""),"一年級")</f>
        <v>一年級</v>
      </c>
      <c r="G1353" s="10" t="str">
        <f>IFERROR(__xludf.DUMMYFUNCTION("""COMPUTED_VALUE"""),"獎狀")</f>
        <v>獎狀</v>
      </c>
      <c r="H1353" s="9"/>
    </row>
    <row r="1354">
      <c r="A1354" s="5" t="s">
        <v>9</v>
      </c>
      <c r="B1354" s="9" t="str">
        <f>IFERROR(__xludf.DUMMYFUNCTION("""COMPUTED_VALUE"""),"劉O伶")</f>
        <v>劉O伶</v>
      </c>
      <c r="C1354" s="9" t="str">
        <f>IFERROR(__xludf.DUMMYFUNCTION("""COMPUTED_VALUE"""),"113*****tshcmc.edu.vn")</f>
        <v>113*****tshcmc.edu.vn</v>
      </c>
      <c r="D1354" s="9" t="str">
        <f>IFERROR(__xludf.DUMMYFUNCTION("""COMPUTED_VALUE"""),"越南胡志明市臺灣學校")</f>
        <v>越南胡志明市臺灣學校</v>
      </c>
      <c r="E1354" s="9" t="str">
        <f>IFERROR(__xludf.DUMMYFUNCTION("""COMPUTED_VALUE"""),"普通科")</f>
        <v>普通科</v>
      </c>
      <c r="F1354" s="9" t="str">
        <f>IFERROR(__xludf.DUMMYFUNCTION("""COMPUTED_VALUE"""),"一年級")</f>
        <v>一年級</v>
      </c>
      <c r="G1354" s="10" t="str">
        <f>IFERROR(__xludf.DUMMYFUNCTION("""COMPUTED_VALUE"""),"獎狀")</f>
        <v>獎狀</v>
      </c>
      <c r="H1354" s="9"/>
    </row>
    <row r="1355">
      <c r="A1355" s="5" t="s">
        <v>9</v>
      </c>
      <c r="B1355" s="9" t="str">
        <f>IFERROR(__xludf.DUMMYFUNCTION("""COMPUTED_VALUE"""),"蕭O容")</f>
        <v>蕭O容</v>
      </c>
      <c r="C1355" s="9" t="str">
        <f>IFERROR(__xludf.DUMMYFUNCTION("""COMPUTED_VALUE"""),"113*****tshcmc.edu.vn")</f>
        <v>113*****tshcmc.edu.vn</v>
      </c>
      <c r="D1355" s="9" t="str">
        <f>IFERROR(__xludf.DUMMYFUNCTION("""COMPUTED_VALUE"""),"越南胡志明市臺灣學校")</f>
        <v>越南胡志明市臺灣學校</v>
      </c>
      <c r="E1355" s="9" t="str">
        <f>IFERROR(__xludf.DUMMYFUNCTION("""COMPUTED_VALUE"""),"普通科")</f>
        <v>普通科</v>
      </c>
      <c r="F1355" s="9" t="str">
        <f>IFERROR(__xludf.DUMMYFUNCTION("""COMPUTED_VALUE"""),"一年級")</f>
        <v>一年級</v>
      </c>
      <c r="G1355" s="10" t="str">
        <f>IFERROR(__xludf.DUMMYFUNCTION("""COMPUTED_VALUE"""),"獎狀")</f>
        <v>獎狀</v>
      </c>
      <c r="H1355" s="9"/>
    </row>
    <row r="1356">
      <c r="A1356" s="5" t="s">
        <v>9</v>
      </c>
      <c r="B1356" s="9" t="str">
        <f>IFERROR(__xludf.DUMMYFUNCTION("""COMPUTED_VALUE"""),"吳O銨")</f>
        <v>吳O銨</v>
      </c>
      <c r="C1356" s="9" t="str">
        <f>IFERROR(__xludf.DUMMYFUNCTION("""COMPUTED_VALUE"""),"113*****tshcmc.edu.vn")</f>
        <v>113*****tshcmc.edu.vn</v>
      </c>
      <c r="D1356" s="9" t="str">
        <f>IFERROR(__xludf.DUMMYFUNCTION("""COMPUTED_VALUE"""),"越南胡志明市臺灣學校")</f>
        <v>越南胡志明市臺灣學校</v>
      </c>
      <c r="E1356" s="9" t="str">
        <f>IFERROR(__xludf.DUMMYFUNCTION("""COMPUTED_VALUE"""),"普通科")</f>
        <v>普通科</v>
      </c>
      <c r="F1356" s="9" t="str">
        <f>IFERROR(__xludf.DUMMYFUNCTION("""COMPUTED_VALUE"""),"一年級")</f>
        <v>一年級</v>
      </c>
      <c r="G1356" s="10" t="str">
        <f>IFERROR(__xludf.DUMMYFUNCTION("""COMPUTED_VALUE"""),"■商品卡$200")</f>
        <v>■商品卡$200</v>
      </c>
      <c r="H1356" s="9"/>
    </row>
    <row r="1357">
      <c r="A1357" s="5" t="s">
        <v>9</v>
      </c>
      <c r="B1357" s="9" t="str">
        <f>IFERROR(__xludf.DUMMYFUNCTION("""COMPUTED_VALUE"""),"張O瑜")</f>
        <v>張O瑜</v>
      </c>
      <c r="C1357" s="9" t="str">
        <f>IFERROR(__xludf.DUMMYFUNCTION("""COMPUTED_VALUE"""),"113*****tshcmc.edu.vn")</f>
        <v>113*****tshcmc.edu.vn</v>
      </c>
      <c r="D1357" s="9" t="str">
        <f>IFERROR(__xludf.DUMMYFUNCTION("""COMPUTED_VALUE"""),"越南胡志明市臺灣學校")</f>
        <v>越南胡志明市臺灣學校</v>
      </c>
      <c r="E1357" s="9" t="str">
        <f>IFERROR(__xludf.DUMMYFUNCTION("""COMPUTED_VALUE"""),"普通科")</f>
        <v>普通科</v>
      </c>
      <c r="F1357" s="9" t="str">
        <f>IFERROR(__xludf.DUMMYFUNCTION("""COMPUTED_VALUE"""),"一年級")</f>
        <v>一年級</v>
      </c>
      <c r="G1357" s="10" t="str">
        <f>IFERROR(__xludf.DUMMYFUNCTION("""COMPUTED_VALUE"""),"獎狀")</f>
        <v>獎狀</v>
      </c>
      <c r="H1357" s="9"/>
    </row>
    <row r="1358">
      <c r="A1358" s="5" t="s">
        <v>9</v>
      </c>
      <c r="B1358" s="9" t="str">
        <f>IFERROR(__xludf.DUMMYFUNCTION("""COMPUTED_VALUE"""),"劉O霓")</f>
        <v>劉O霓</v>
      </c>
      <c r="C1358" s="9" t="str">
        <f>IFERROR(__xludf.DUMMYFUNCTION("""COMPUTED_VALUE"""),"113*****tshcmc.edu.vn")</f>
        <v>113*****tshcmc.edu.vn</v>
      </c>
      <c r="D1358" s="9" t="str">
        <f>IFERROR(__xludf.DUMMYFUNCTION("""COMPUTED_VALUE"""),"越南胡志明市臺灣學校")</f>
        <v>越南胡志明市臺灣學校</v>
      </c>
      <c r="E1358" s="9" t="str">
        <f>IFERROR(__xludf.DUMMYFUNCTION("""COMPUTED_VALUE"""),"普通科")</f>
        <v>普通科</v>
      </c>
      <c r="F1358" s="9" t="str">
        <f>IFERROR(__xludf.DUMMYFUNCTION("""COMPUTED_VALUE"""),"一年級")</f>
        <v>一年級</v>
      </c>
      <c r="G1358" s="10" t="str">
        <f>IFERROR(__xludf.DUMMYFUNCTION("""COMPUTED_VALUE"""),"獎狀")</f>
        <v>獎狀</v>
      </c>
      <c r="H1358" s="9"/>
    </row>
    <row r="1359">
      <c r="A1359" s="5" t="s">
        <v>9</v>
      </c>
      <c r="B1359" s="9" t="str">
        <f>IFERROR(__xludf.DUMMYFUNCTION("""COMPUTED_VALUE"""),"呂O郡")</f>
        <v>呂O郡</v>
      </c>
      <c r="C1359" s="9" t="str">
        <f>IFERROR(__xludf.DUMMYFUNCTION("""COMPUTED_VALUE"""),"113*****tshcmc.edu.vn")</f>
        <v>113*****tshcmc.edu.vn</v>
      </c>
      <c r="D1359" s="9" t="str">
        <f>IFERROR(__xludf.DUMMYFUNCTION("""COMPUTED_VALUE"""),"越南胡志明市臺灣學校")</f>
        <v>越南胡志明市臺灣學校</v>
      </c>
      <c r="E1359" s="9" t="str">
        <f>IFERROR(__xludf.DUMMYFUNCTION("""COMPUTED_VALUE"""),"普通科")</f>
        <v>普通科</v>
      </c>
      <c r="F1359" s="9" t="str">
        <f>IFERROR(__xludf.DUMMYFUNCTION("""COMPUTED_VALUE"""),"一年級")</f>
        <v>一年級</v>
      </c>
      <c r="G1359" s="10" t="str">
        <f>IFERROR(__xludf.DUMMYFUNCTION("""COMPUTED_VALUE"""),"○商品卡$500")</f>
        <v>○商品卡$500</v>
      </c>
      <c r="H1359" s="9"/>
    </row>
    <row r="1360">
      <c r="A1360" s="5" t="s">
        <v>9</v>
      </c>
      <c r="B1360" s="9" t="str">
        <f>IFERROR(__xludf.DUMMYFUNCTION("""COMPUTED_VALUE"""),"蔡O喬")</f>
        <v>蔡O喬</v>
      </c>
      <c r="C1360" s="9" t="str">
        <f>IFERROR(__xludf.DUMMYFUNCTION("""COMPUTED_VALUE"""),"113*****tshcmc.edu.vn")</f>
        <v>113*****tshcmc.edu.vn</v>
      </c>
      <c r="D1360" s="9" t="str">
        <f>IFERROR(__xludf.DUMMYFUNCTION("""COMPUTED_VALUE"""),"越南胡志明市臺灣學校")</f>
        <v>越南胡志明市臺灣學校</v>
      </c>
      <c r="E1360" s="9" t="str">
        <f>IFERROR(__xludf.DUMMYFUNCTION("""COMPUTED_VALUE"""),"普通科")</f>
        <v>普通科</v>
      </c>
      <c r="F1360" s="9" t="str">
        <f>IFERROR(__xludf.DUMMYFUNCTION("""COMPUTED_VALUE"""),"一年級")</f>
        <v>一年級</v>
      </c>
      <c r="G1360" s="10" t="str">
        <f>IFERROR(__xludf.DUMMYFUNCTION("""COMPUTED_VALUE"""),"■商品卡$200")</f>
        <v>■商品卡$200</v>
      </c>
      <c r="H1360" s="9"/>
    </row>
    <row r="1361">
      <c r="A1361" s="5" t="s">
        <v>9</v>
      </c>
      <c r="B1361" s="9" t="str">
        <f>IFERROR(__xludf.DUMMYFUNCTION("""COMPUTED_VALUE"""),"曾O穎")</f>
        <v>曾O穎</v>
      </c>
      <c r="C1361" s="9" t="str">
        <f>IFERROR(__xludf.DUMMYFUNCTION("""COMPUTED_VALUE"""),"113*****tshcmc.edu.vn")</f>
        <v>113*****tshcmc.edu.vn</v>
      </c>
      <c r="D1361" s="9" t="str">
        <f>IFERROR(__xludf.DUMMYFUNCTION("""COMPUTED_VALUE"""),"越南胡志明市臺灣學校")</f>
        <v>越南胡志明市臺灣學校</v>
      </c>
      <c r="E1361" s="9" t="str">
        <f>IFERROR(__xludf.DUMMYFUNCTION("""COMPUTED_VALUE"""),"普通科")</f>
        <v>普通科</v>
      </c>
      <c r="F1361" s="9" t="str">
        <f>IFERROR(__xludf.DUMMYFUNCTION("""COMPUTED_VALUE"""),"一年級")</f>
        <v>一年級</v>
      </c>
      <c r="G1361" s="10" t="str">
        <f>IFERROR(__xludf.DUMMYFUNCTION("""COMPUTED_VALUE"""),"獎狀")</f>
        <v>獎狀</v>
      </c>
      <c r="H1361" s="9"/>
    </row>
    <row r="1362">
      <c r="A1362" s="5" t="s">
        <v>9</v>
      </c>
      <c r="B1362" s="9" t="str">
        <f>IFERROR(__xludf.DUMMYFUNCTION("""COMPUTED_VALUE"""),"楊O寧")</f>
        <v>楊O寧</v>
      </c>
      <c r="C1362" s="9" t="str">
        <f>IFERROR(__xludf.DUMMYFUNCTION("""COMPUTED_VALUE"""),"113*****tshcmc.edu.vn")</f>
        <v>113*****tshcmc.edu.vn</v>
      </c>
      <c r="D1362" s="9" t="str">
        <f>IFERROR(__xludf.DUMMYFUNCTION("""COMPUTED_VALUE"""),"越南胡志明市臺灣學校")</f>
        <v>越南胡志明市臺灣學校</v>
      </c>
      <c r="E1362" s="9" t="str">
        <f>IFERROR(__xludf.DUMMYFUNCTION("""COMPUTED_VALUE"""),"普通科")</f>
        <v>普通科</v>
      </c>
      <c r="F1362" s="9" t="str">
        <f>IFERROR(__xludf.DUMMYFUNCTION("""COMPUTED_VALUE"""),"一年級")</f>
        <v>一年級</v>
      </c>
      <c r="G1362" s="10" t="str">
        <f>IFERROR(__xludf.DUMMYFUNCTION("""COMPUTED_VALUE"""),"獎狀")</f>
        <v>獎狀</v>
      </c>
      <c r="H1362" s="9"/>
    </row>
    <row r="1363">
      <c r="A1363" s="5" t="s">
        <v>9</v>
      </c>
      <c r="B1363" s="9" t="str">
        <f>IFERROR(__xludf.DUMMYFUNCTION("""COMPUTED_VALUE"""),"趙O傑")</f>
        <v>趙O傑</v>
      </c>
      <c r="C1363" s="9" t="str">
        <f>IFERROR(__xludf.DUMMYFUNCTION("""COMPUTED_VALUE"""),"113*****tshcmc.edu.vn")</f>
        <v>113*****tshcmc.edu.vn</v>
      </c>
      <c r="D1363" s="9" t="str">
        <f>IFERROR(__xludf.DUMMYFUNCTION("""COMPUTED_VALUE"""),"越南胡志明市臺灣學校")</f>
        <v>越南胡志明市臺灣學校</v>
      </c>
      <c r="E1363" s="9" t="str">
        <f>IFERROR(__xludf.DUMMYFUNCTION("""COMPUTED_VALUE"""),"普通科")</f>
        <v>普通科</v>
      </c>
      <c r="F1363" s="9" t="str">
        <f>IFERROR(__xludf.DUMMYFUNCTION("""COMPUTED_VALUE"""),"一年級")</f>
        <v>一年級</v>
      </c>
      <c r="G1363" s="10" t="str">
        <f>IFERROR(__xludf.DUMMYFUNCTION("""COMPUTED_VALUE"""),"獎狀")</f>
        <v>獎狀</v>
      </c>
      <c r="H1363" s="9"/>
    </row>
    <row r="1364">
      <c r="A1364" s="5" t="s">
        <v>9</v>
      </c>
      <c r="B1364" s="9" t="str">
        <f>IFERROR(__xludf.DUMMYFUNCTION("""COMPUTED_VALUE"""),"李O伶")</f>
        <v>李O伶</v>
      </c>
      <c r="C1364" s="9" t="str">
        <f>IFERROR(__xludf.DUMMYFUNCTION("""COMPUTED_VALUE"""),"113*****tshcmc.edu.vn")</f>
        <v>113*****tshcmc.edu.vn</v>
      </c>
      <c r="D1364" s="9" t="str">
        <f>IFERROR(__xludf.DUMMYFUNCTION("""COMPUTED_VALUE"""),"越南胡志明市臺灣學校")</f>
        <v>越南胡志明市臺灣學校</v>
      </c>
      <c r="E1364" s="9" t="str">
        <f>IFERROR(__xludf.DUMMYFUNCTION("""COMPUTED_VALUE"""),"普通科")</f>
        <v>普通科</v>
      </c>
      <c r="F1364" s="9" t="str">
        <f>IFERROR(__xludf.DUMMYFUNCTION("""COMPUTED_VALUE"""),"一年級")</f>
        <v>一年級</v>
      </c>
      <c r="G1364" s="10" t="str">
        <f>IFERROR(__xludf.DUMMYFUNCTION("""COMPUTED_VALUE"""),"獎狀")</f>
        <v>獎狀</v>
      </c>
      <c r="H1364" s="9"/>
    </row>
    <row r="1365">
      <c r="A1365" s="5" t="s">
        <v>9</v>
      </c>
      <c r="B1365" s="9" t="str">
        <f>IFERROR(__xludf.DUMMYFUNCTION("""COMPUTED_VALUE"""),"高O寶")</f>
        <v>高O寶</v>
      </c>
      <c r="C1365" s="9" t="str">
        <f>IFERROR(__xludf.DUMMYFUNCTION("""COMPUTED_VALUE"""),"113*****tshcmc.edu.vn")</f>
        <v>113*****tshcmc.edu.vn</v>
      </c>
      <c r="D1365" s="9" t="str">
        <f>IFERROR(__xludf.DUMMYFUNCTION("""COMPUTED_VALUE"""),"越南胡志明市臺灣學校")</f>
        <v>越南胡志明市臺灣學校</v>
      </c>
      <c r="E1365" s="9" t="str">
        <f>IFERROR(__xludf.DUMMYFUNCTION("""COMPUTED_VALUE"""),"普通科")</f>
        <v>普通科</v>
      </c>
      <c r="F1365" s="9" t="str">
        <f>IFERROR(__xludf.DUMMYFUNCTION("""COMPUTED_VALUE"""),"一年級")</f>
        <v>一年級</v>
      </c>
      <c r="G1365" s="10" t="str">
        <f>IFERROR(__xludf.DUMMYFUNCTION("""COMPUTED_VALUE"""),"獎狀")</f>
        <v>獎狀</v>
      </c>
      <c r="H1365" s="9"/>
    </row>
    <row r="1366">
      <c r="A1366" s="5" t="s">
        <v>9</v>
      </c>
      <c r="B1366" s="9" t="str">
        <f>IFERROR(__xludf.DUMMYFUNCTION("""COMPUTED_VALUE"""),"梁O堯")</f>
        <v>梁O堯</v>
      </c>
      <c r="C1366" s="9" t="str">
        <f>IFERROR(__xludf.DUMMYFUNCTION("""COMPUTED_VALUE"""),"113*****tshcmc.edu.vn")</f>
        <v>113*****tshcmc.edu.vn</v>
      </c>
      <c r="D1366" s="9" t="str">
        <f>IFERROR(__xludf.DUMMYFUNCTION("""COMPUTED_VALUE"""),"越南胡志明市臺灣學校")</f>
        <v>越南胡志明市臺灣學校</v>
      </c>
      <c r="E1366" s="9" t="str">
        <f>IFERROR(__xludf.DUMMYFUNCTION("""COMPUTED_VALUE"""),"普通科")</f>
        <v>普通科</v>
      </c>
      <c r="F1366" s="9" t="str">
        <f>IFERROR(__xludf.DUMMYFUNCTION("""COMPUTED_VALUE"""),"一年級")</f>
        <v>一年級</v>
      </c>
      <c r="G1366" s="10" t="str">
        <f>IFERROR(__xludf.DUMMYFUNCTION("""COMPUTED_VALUE"""),"獎狀")</f>
        <v>獎狀</v>
      </c>
      <c r="H1366" s="9"/>
    </row>
    <row r="1367">
      <c r="A1367" s="5" t="s">
        <v>9</v>
      </c>
      <c r="B1367" s="9" t="str">
        <f>IFERROR(__xludf.DUMMYFUNCTION("""COMPUTED_VALUE"""),"邱O臻")</f>
        <v>邱O臻</v>
      </c>
      <c r="C1367" s="9" t="str">
        <f>IFERROR(__xludf.DUMMYFUNCTION("""COMPUTED_VALUE"""),"112*****jennyc@tshcmc.edu.vn")</f>
        <v>112*****jennyc@tshcmc.edu.vn</v>
      </c>
      <c r="D1367" s="9" t="str">
        <f>IFERROR(__xludf.DUMMYFUNCTION("""COMPUTED_VALUE"""),"越南胡志明市臺灣學校")</f>
        <v>越南胡志明市臺灣學校</v>
      </c>
      <c r="E1367" s="9" t="str">
        <f>IFERROR(__xludf.DUMMYFUNCTION("""COMPUTED_VALUE"""),"普通科")</f>
        <v>普通科</v>
      </c>
      <c r="F1367" s="9" t="str">
        <f>IFERROR(__xludf.DUMMYFUNCTION("""COMPUTED_VALUE"""),"三年級")</f>
        <v>三年級</v>
      </c>
      <c r="G1367" s="10" t="str">
        <f>IFERROR(__xludf.DUMMYFUNCTION("""COMPUTED_VALUE"""),"獎狀")</f>
        <v>獎狀</v>
      </c>
      <c r="H1367" s="9"/>
    </row>
  </sheetData>
  <mergeCells count="1">
    <mergeCell ref="A1:H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3" max="3" width="30.5"/>
    <col customWidth="1" min="4" max="4" width="36.0"/>
    <col customWidth="1" min="5" max="5" width="11.0"/>
    <col customWidth="1" min="8" max="8" width="27.63"/>
  </cols>
  <sheetData>
    <row r="1">
      <c r="A1" s="12" t="s">
        <v>10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4" t="s">
        <v>8</v>
      </c>
    </row>
    <row r="3">
      <c r="A3" s="13" t="s">
        <v>11</v>
      </c>
      <c r="B3" s="6" t="str">
        <f>IFERROR(__xludf.DUMMYFUNCTION("IMPORTRANGE(""https://docs.google.com/spreadsheets/d/1AtUxug2OAe7N5XC0IO8rOe5n_Zu9Pd3NVb8VTGKkI3Q/edit?usp=sharing"",""技_通過(1076位)!M3:M"")"),"顏O芸")</f>
        <v>顏O芸</v>
      </c>
      <c r="C3" s="6" t="str">
        <f>IFERROR(__xludf.DUMMYFUNCTION("IMPORTRANGE(""https://docs.google.com/spreadsheets/d/1AtUxug2OAe7N5XC0IO8rOe5n_Zu9Pd3NVb8VTGKkI3Q/edit?usp=sharing"",""技_通過(1076位)!N3:N"")"),"len*****08@gmail.com")</f>
        <v>len*****08@gmail.com</v>
      </c>
      <c r="D3" s="6" t="str">
        <f>IFERROR(__xludf.DUMMYFUNCTION("IMPORTRANGE(""https://docs.google.com/spreadsheets/d/1AtUxug2OAe7N5XC0IO8rOe5n_Zu9Pd3NVb8VTGKkI3Q/edit?usp=sharing"",""技_通過(1076位)!F3:F"")"),"臺北市私立靜修高級中學")</f>
        <v>臺北市私立靜修高級中學</v>
      </c>
      <c r="E3" s="6" t="str">
        <f>IFERROR(__xludf.DUMMYFUNCTION("IMPORTRANGE(""https://docs.google.com/spreadsheets/d/1AtUxug2OAe7N5XC0IO8rOe5n_Zu9Pd3NVb8VTGKkI3Q/edit?usp=sharing"",""技_通過(1076位)!J3:J"")"),"應英科")</f>
        <v>應英科</v>
      </c>
      <c r="F3" s="6" t="str">
        <f>IFERROR(__xludf.DUMMYFUNCTION("IMPORTRANGE(""https://docs.google.com/spreadsheets/d/1AtUxug2OAe7N5XC0IO8rOe5n_Zu9Pd3NVb8VTGKkI3Q/edit?usp=sharing"",""技_通過(1076位)!H3:H"")"),"一年級")</f>
        <v>一年級</v>
      </c>
      <c r="G3" s="6" t="str">
        <f>IFERROR(__xludf.DUMMYFUNCTION("IMPORTRANGE(""https://docs.google.com/spreadsheets/d/1AtUxug2OAe7N5XC0IO8rOe5n_Zu9Pd3NVb8VTGKkI3Q/edit?usp=sharing"",""技_通過(1076位)!C3:C"")"),"獎狀")</f>
        <v>獎狀</v>
      </c>
      <c r="H3" s="8" t="str">
        <f>IFERROR(__xludf.DUMMYFUNCTION("IMPORTRANGE(""https://docs.google.com/spreadsheets/d/1AtUxug2OAe7N5XC0IO8rOe5n_Zu9Pd3NVb8VTGKkI3Q/edit?usp=sharing"",""技_通過(1076位)!V3:V"")"),"")</f>
        <v/>
      </c>
    </row>
    <row r="4">
      <c r="A4" s="13" t="s">
        <v>11</v>
      </c>
      <c r="B4" s="9" t="str">
        <f>IFERROR(__xludf.DUMMYFUNCTION("""COMPUTED_VALUE"""),"周O凌")</f>
        <v>周O凌</v>
      </c>
      <c r="C4" s="9" t="str">
        <f>IFERROR(__xludf.DUMMYFUNCTION("""COMPUTED_VALUE"""),"lyn*****97@gmail.com")</f>
        <v>lyn*****97@gmail.com</v>
      </c>
      <c r="D4" s="9" t="str">
        <f>IFERROR(__xludf.DUMMYFUNCTION("""COMPUTED_VALUE"""),"臺北市私立靜修高級中學")</f>
        <v>臺北市私立靜修高級中學</v>
      </c>
      <c r="E4" s="9" t="str">
        <f>IFERROR(__xludf.DUMMYFUNCTION("""COMPUTED_VALUE"""),"應英科")</f>
        <v>應英科</v>
      </c>
      <c r="F4" s="9" t="str">
        <f>IFERROR(__xludf.DUMMYFUNCTION("""COMPUTED_VALUE"""),"二年級")</f>
        <v>二年級</v>
      </c>
      <c r="G4" s="9" t="str">
        <f>IFERROR(__xludf.DUMMYFUNCTION("""COMPUTED_VALUE"""),"獎狀")</f>
        <v>獎狀</v>
      </c>
      <c r="H4" s="9"/>
    </row>
    <row r="5">
      <c r="A5" s="13" t="s">
        <v>11</v>
      </c>
      <c r="B5" s="9" t="str">
        <f>IFERROR(__xludf.DUMMYFUNCTION("""COMPUTED_VALUE"""),"高O婷")</f>
        <v>高O婷</v>
      </c>
      <c r="C5" s="9" t="str">
        <f>IFERROR(__xludf.DUMMYFUNCTION("""COMPUTED_VALUE"""),"kao*****g727@gmail.com")</f>
        <v>kao*****g727@gmail.com</v>
      </c>
      <c r="D5" s="9" t="str">
        <f>IFERROR(__xludf.DUMMYFUNCTION("""COMPUTED_VALUE"""),"臺北市私立靜修高級中學")</f>
        <v>臺北市私立靜修高級中學</v>
      </c>
      <c r="E5" s="9" t="str">
        <f>IFERROR(__xludf.DUMMYFUNCTION("""COMPUTED_VALUE"""),"應英科")</f>
        <v>應英科</v>
      </c>
      <c r="F5" s="9" t="str">
        <f>IFERROR(__xludf.DUMMYFUNCTION("""COMPUTED_VALUE"""),"三年級")</f>
        <v>三年級</v>
      </c>
      <c r="G5" s="9" t="str">
        <f>IFERROR(__xludf.DUMMYFUNCTION("""COMPUTED_VALUE"""),"獎狀")</f>
        <v>獎狀</v>
      </c>
      <c r="H5" s="9"/>
    </row>
    <row r="6">
      <c r="A6" s="13" t="s">
        <v>11</v>
      </c>
      <c r="B6" s="9" t="str">
        <f>IFERROR(__xludf.DUMMYFUNCTION("""COMPUTED_VALUE"""),"謝O育")</f>
        <v>謝O育</v>
      </c>
      <c r="C6" s="9" t="str">
        <f>IFERROR(__xludf.DUMMYFUNCTION("""COMPUTED_VALUE"""),"Abi*****82242@gmail.com")</f>
        <v>Abi*****82242@gmail.com</v>
      </c>
      <c r="D6" s="9" t="str">
        <f>IFERROR(__xludf.DUMMYFUNCTION("""COMPUTED_VALUE"""),"臺北市私立靜修高級中學")</f>
        <v>臺北市私立靜修高級中學</v>
      </c>
      <c r="E6" s="9" t="str">
        <f>IFERROR(__xludf.DUMMYFUNCTION("""COMPUTED_VALUE"""),"應英科")</f>
        <v>應英科</v>
      </c>
      <c r="F6" s="9" t="str">
        <f>IFERROR(__xludf.DUMMYFUNCTION("""COMPUTED_VALUE"""),"三年級")</f>
        <v>三年級</v>
      </c>
      <c r="G6" s="9" t="str">
        <f>IFERROR(__xludf.DUMMYFUNCTION("""COMPUTED_VALUE"""),"獎狀")</f>
        <v>獎狀</v>
      </c>
      <c r="H6" s="9"/>
    </row>
    <row r="7">
      <c r="A7" s="13" t="s">
        <v>11</v>
      </c>
      <c r="B7" s="9" t="str">
        <f>IFERROR(__xludf.DUMMYFUNCTION("""COMPUTED_VALUE"""),"白O櫻")</f>
        <v>白O櫻</v>
      </c>
      <c r="C7" s="9" t="str">
        <f>IFERROR(__xludf.DUMMYFUNCTION("""COMPUTED_VALUE"""),"xia*****bai1003@gmail.com")</f>
        <v>xia*****bai1003@gmail.com</v>
      </c>
      <c r="D7" s="9" t="str">
        <f>IFERROR(__xludf.DUMMYFUNCTION("""COMPUTED_VALUE"""),"臺北市私立靜修高級中學")</f>
        <v>臺北市私立靜修高級中學</v>
      </c>
      <c r="E7" s="9" t="str">
        <f>IFERROR(__xludf.DUMMYFUNCTION("""COMPUTED_VALUE"""),"應英科")</f>
        <v>應英科</v>
      </c>
      <c r="F7" s="9" t="str">
        <f>IFERROR(__xludf.DUMMYFUNCTION("""COMPUTED_VALUE"""),"三年級")</f>
        <v>三年級</v>
      </c>
      <c r="G7" s="9" t="str">
        <f>IFERROR(__xludf.DUMMYFUNCTION("""COMPUTED_VALUE"""),"★商品卡$1000")</f>
        <v>★商品卡$1000</v>
      </c>
      <c r="H7" s="9"/>
    </row>
    <row r="8">
      <c r="A8" s="13" t="s">
        <v>11</v>
      </c>
      <c r="B8" s="9" t="str">
        <f>IFERROR(__xludf.DUMMYFUNCTION("""COMPUTED_VALUE"""),"連O萱")</f>
        <v>連O萱</v>
      </c>
      <c r="C8" s="9" t="str">
        <f>IFERROR(__xludf.DUMMYFUNCTION("""COMPUTED_VALUE"""),"jes*****080113@gmail.com")</f>
        <v>jes*****080113@gmail.com</v>
      </c>
      <c r="D8" s="9" t="str">
        <f>IFERROR(__xludf.DUMMYFUNCTION("""COMPUTED_VALUE"""),"臺北市私立靜修高級中學")</f>
        <v>臺北市私立靜修高級中學</v>
      </c>
      <c r="E8" s="9" t="str">
        <f>IFERROR(__xludf.DUMMYFUNCTION("""COMPUTED_VALUE"""),"應英科")</f>
        <v>應英科</v>
      </c>
      <c r="F8" s="9" t="str">
        <f>IFERROR(__xludf.DUMMYFUNCTION("""COMPUTED_VALUE"""),"三年級")</f>
        <v>三年級</v>
      </c>
      <c r="G8" s="9" t="str">
        <f>IFERROR(__xludf.DUMMYFUNCTION("""COMPUTED_VALUE"""),"○商品卡$500")</f>
        <v>○商品卡$500</v>
      </c>
      <c r="H8" s="9"/>
    </row>
    <row r="9">
      <c r="A9" s="13" t="s">
        <v>11</v>
      </c>
      <c r="B9" s="9" t="str">
        <f>IFERROR(__xludf.DUMMYFUNCTION("""COMPUTED_VALUE"""),"凌O軒")</f>
        <v>凌O軒</v>
      </c>
      <c r="C9" s="9" t="str">
        <f>IFERROR(__xludf.DUMMYFUNCTION("""COMPUTED_VALUE"""),"st1*****0@ms.tsh.ttu.edu.tw")</f>
        <v>st1*****0@ms.tsh.ttu.edu.tw</v>
      </c>
      <c r="D9" s="9" t="str">
        <f>IFERROR(__xludf.DUMMYFUNCTION("""COMPUTED_VALUE"""),"臺北市私立大同高級中學")</f>
        <v>臺北市私立大同高級中學</v>
      </c>
      <c r="E9" s="9" t="str">
        <f>IFERROR(__xludf.DUMMYFUNCTION("""COMPUTED_VALUE"""),"資料處理科")</f>
        <v>資料處理科</v>
      </c>
      <c r="F9" s="9" t="str">
        <f>IFERROR(__xludf.DUMMYFUNCTION("""COMPUTED_VALUE"""),"一年級")</f>
        <v>一年級</v>
      </c>
      <c r="G9" s="9" t="str">
        <f>IFERROR(__xludf.DUMMYFUNCTION("""COMPUTED_VALUE"""),"獎狀")</f>
        <v>獎狀</v>
      </c>
      <c r="H9" s="9"/>
    </row>
    <row r="10">
      <c r="A10" s="13" t="s">
        <v>11</v>
      </c>
      <c r="B10" s="9" t="str">
        <f>IFERROR(__xludf.DUMMYFUNCTION("""COMPUTED_VALUE"""),"許O瑀")</f>
        <v>許O瑀</v>
      </c>
      <c r="C10" s="9" t="str">
        <f>IFERROR(__xludf.DUMMYFUNCTION("""COMPUTED_VALUE"""),"st1*****9@ms.tsh.ttu.edu.tw")</f>
        <v>st1*****9@ms.tsh.ttu.edu.tw</v>
      </c>
      <c r="D10" s="9" t="str">
        <f>IFERROR(__xludf.DUMMYFUNCTION("""COMPUTED_VALUE"""),"臺北市私立大同高級中學")</f>
        <v>臺北市私立大同高級中學</v>
      </c>
      <c r="E10" s="9" t="str">
        <f>IFERROR(__xludf.DUMMYFUNCTION("""COMPUTED_VALUE"""),"資料處理科")</f>
        <v>資料處理科</v>
      </c>
      <c r="F10" s="9" t="str">
        <f>IFERROR(__xludf.DUMMYFUNCTION("""COMPUTED_VALUE"""),"一年級")</f>
        <v>一年級</v>
      </c>
      <c r="G10" s="9" t="str">
        <f>IFERROR(__xludf.DUMMYFUNCTION("""COMPUTED_VALUE"""),"獎狀")</f>
        <v>獎狀</v>
      </c>
      <c r="H10" s="9"/>
    </row>
    <row r="11">
      <c r="A11" s="13" t="s">
        <v>11</v>
      </c>
      <c r="B11" s="9" t="str">
        <f>IFERROR(__xludf.DUMMYFUNCTION("""COMPUTED_VALUE"""),"丁O雯")</f>
        <v>丁O雯</v>
      </c>
      <c r="C11" s="9" t="str">
        <f>IFERROR(__xludf.DUMMYFUNCTION("""COMPUTED_VALUE"""),"st1*****1@ms.tsh.ttu.edu.tw")</f>
        <v>st1*****1@ms.tsh.ttu.edu.tw</v>
      </c>
      <c r="D11" s="9" t="str">
        <f>IFERROR(__xludf.DUMMYFUNCTION("""COMPUTED_VALUE"""),"臺北市私立大同高級中學")</f>
        <v>臺北市私立大同高級中學</v>
      </c>
      <c r="E11" s="9" t="str">
        <f>IFERROR(__xludf.DUMMYFUNCTION("""COMPUTED_VALUE"""),"資料處理科")</f>
        <v>資料處理科</v>
      </c>
      <c r="F11" s="9" t="str">
        <f>IFERROR(__xludf.DUMMYFUNCTION("""COMPUTED_VALUE"""),"一年級")</f>
        <v>一年級</v>
      </c>
      <c r="G11" s="9" t="str">
        <f>IFERROR(__xludf.DUMMYFUNCTION("""COMPUTED_VALUE"""),"獎狀")</f>
        <v>獎狀</v>
      </c>
      <c r="H11" s="9"/>
    </row>
    <row r="12">
      <c r="A12" s="13" t="s">
        <v>11</v>
      </c>
      <c r="B12" s="9" t="str">
        <f>IFERROR(__xludf.DUMMYFUNCTION("""COMPUTED_VALUE"""),"陳O軒")</f>
        <v>陳O軒</v>
      </c>
      <c r="C12" s="9" t="str">
        <f>IFERROR(__xludf.DUMMYFUNCTION("""COMPUTED_VALUE"""),"st1*****3@ms.tsh.ttu.edu.tw")</f>
        <v>st1*****3@ms.tsh.ttu.edu.tw</v>
      </c>
      <c r="D12" s="9" t="str">
        <f>IFERROR(__xludf.DUMMYFUNCTION("""COMPUTED_VALUE"""),"臺北市私立大同高級中學")</f>
        <v>臺北市私立大同高級中學</v>
      </c>
      <c r="E12" s="9" t="str">
        <f>IFERROR(__xludf.DUMMYFUNCTION("""COMPUTED_VALUE"""),"資料處理科")</f>
        <v>資料處理科</v>
      </c>
      <c r="F12" s="9" t="str">
        <f>IFERROR(__xludf.DUMMYFUNCTION("""COMPUTED_VALUE"""),"一年級")</f>
        <v>一年級</v>
      </c>
      <c r="G12" s="9" t="str">
        <f>IFERROR(__xludf.DUMMYFUNCTION("""COMPUTED_VALUE"""),"獎狀")</f>
        <v>獎狀</v>
      </c>
      <c r="H12" s="9"/>
    </row>
    <row r="13">
      <c r="A13" s="13" t="s">
        <v>11</v>
      </c>
      <c r="B13" s="9" t="str">
        <f>IFERROR(__xludf.DUMMYFUNCTION("""COMPUTED_VALUE"""),"張O妍")</f>
        <v>張O妍</v>
      </c>
      <c r="C13" s="9" t="str">
        <f>IFERROR(__xludf.DUMMYFUNCTION("""COMPUTED_VALUE"""),"st1*****8@ms.tsh.ttu.edu.tw")</f>
        <v>st1*****8@ms.tsh.ttu.edu.tw</v>
      </c>
      <c r="D13" s="9" t="str">
        <f>IFERROR(__xludf.DUMMYFUNCTION("""COMPUTED_VALUE"""),"臺北市私立大同高級中學")</f>
        <v>臺北市私立大同高級中學</v>
      </c>
      <c r="E13" s="9" t="str">
        <f>IFERROR(__xludf.DUMMYFUNCTION("""COMPUTED_VALUE"""),"資料處理科")</f>
        <v>資料處理科</v>
      </c>
      <c r="F13" s="9" t="str">
        <f>IFERROR(__xludf.DUMMYFUNCTION("""COMPUTED_VALUE"""),"一年級")</f>
        <v>一年級</v>
      </c>
      <c r="G13" s="9" t="str">
        <f>IFERROR(__xludf.DUMMYFUNCTION("""COMPUTED_VALUE"""),"獎狀")</f>
        <v>獎狀</v>
      </c>
      <c r="H13" s="9"/>
    </row>
    <row r="14">
      <c r="A14" s="13" t="s">
        <v>11</v>
      </c>
      <c r="B14" s="9" t="str">
        <f>IFERROR(__xludf.DUMMYFUNCTION("""COMPUTED_VALUE"""),"鐘O楷")</f>
        <v>鐘O楷</v>
      </c>
      <c r="C14" s="9" t="str">
        <f>IFERROR(__xludf.DUMMYFUNCTION("""COMPUTED_VALUE"""),"st1*****8@ms.tsh.ttu.edu.tw")</f>
        <v>st1*****8@ms.tsh.ttu.edu.tw</v>
      </c>
      <c r="D14" s="9" t="str">
        <f>IFERROR(__xludf.DUMMYFUNCTION("""COMPUTED_VALUE"""),"臺北市私立大同高級中學")</f>
        <v>臺北市私立大同高級中學</v>
      </c>
      <c r="E14" s="9" t="str">
        <f>IFERROR(__xludf.DUMMYFUNCTION("""COMPUTED_VALUE"""),"資料處理科")</f>
        <v>資料處理科</v>
      </c>
      <c r="F14" s="9" t="str">
        <f>IFERROR(__xludf.DUMMYFUNCTION("""COMPUTED_VALUE"""),"一年級")</f>
        <v>一年級</v>
      </c>
      <c r="G14" s="9" t="str">
        <f>IFERROR(__xludf.DUMMYFUNCTION("""COMPUTED_VALUE"""),"獎狀")</f>
        <v>獎狀</v>
      </c>
      <c r="H14" s="9"/>
    </row>
    <row r="15">
      <c r="A15" s="13" t="s">
        <v>11</v>
      </c>
      <c r="B15" s="9" t="str">
        <f>IFERROR(__xludf.DUMMYFUNCTION("""COMPUTED_VALUE"""),"吳O芸")</f>
        <v>吳O芸</v>
      </c>
      <c r="C15" s="9" t="str">
        <f>IFERROR(__xludf.DUMMYFUNCTION("""COMPUTED_VALUE"""),"st1*****5@ms.tsh.ttu.edu.tw")</f>
        <v>st1*****5@ms.tsh.ttu.edu.tw</v>
      </c>
      <c r="D15" s="9" t="str">
        <f>IFERROR(__xludf.DUMMYFUNCTION("""COMPUTED_VALUE"""),"臺北市私立大同高級中學")</f>
        <v>臺北市私立大同高級中學</v>
      </c>
      <c r="E15" s="9" t="str">
        <f>IFERROR(__xludf.DUMMYFUNCTION("""COMPUTED_VALUE"""),"資料處理科")</f>
        <v>資料處理科</v>
      </c>
      <c r="F15" s="9" t="str">
        <f>IFERROR(__xludf.DUMMYFUNCTION("""COMPUTED_VALUE"""),"一年級")</f>
        <v>一年級</v>
      </c>
      <c r="G15" s="9" t="str">
        <f>IFERROR(__xludf.DUMMYFUNCTION("""COMPUTED_VALUE"""),"獎狀")</f>
        <v>獎狀</v>
      </c>
      <c r="H15" s="9"/>
    </row>
    <row r="16">
      <c r="A16" s="13" t="s">
        <v>11</v>
      </c>
      <c r="B16" s="9" t="str">
        <f>IFERROR(__xludf.DUMMYFUNCTION("""COMPUTED_VALUE"""),"李O祥")</f>
        <v>李O祥</v>
      </c>
      <c r="C16" s="9" t="str">
        <f>IFERROR(__xludf.DUMMYFUNCTION("""COMPUTED_VALUE"""),"st1*****5@ms.tsh.ttu.edu.tw")</f>
        <v>st1*****5@ms.tsh.ttu.edu.tw</v>
      </c>
      <c r="D16" s="9" t="str">
        <f>IFERROR(__xludf.DUMMYFUNCTION("""COMPUTED_VALUE"""),"臺北市私立大同高級中學")</f>
        <v>臺北市私立大同高級中學</v>
      </c>
      <c r="E16" s="9" t="str">
        <f>IFERROR(__xludf.DUMMYFUNCTION("""COMPUTED_VALUE"""),"資料處理科")</f>
        <v>資料處理科</v>
      </c>
      <c r="F16" s="9" t="str">
        <f>IFERROR(__xludf.DUMMYFUNCTION("""COMPUTED_VALUE"""),"一年級")</f>
        <v>一年級</v>
      </c>
      <c r="G16" s="9" t="str">
        <f>IFERROR(__xludf.DUMMYFUNCTION("""COMPUTED_VALUE"""),"○商品卡$500")</f>
        <v>○商品卡$500</v>
      </c>
      <c r="H16" s="9"/>
    </row>
    <row r="17">
      <c r="A17" s="13" t="s">
        <v>11</v>
      </c>
      <c r="B17" s="9" t="str">
        <f>IFERROR(__xludf.DUMMYFUNCTION("""COMPUTED_VALUE"""),"丁O均")</f>
        <v>丁O均</v>
      </c>
      <c r="C17" s="9" t="str">
        <f>IFERROR(__xludf.DUMMYFUNCTION("""COMPUTED_VALUE"""),"st1*****2@ms.tsh.ttu.edu.tw")</f>
        <v>st1*****2@ms.tsh.ttu.edu.tw</v>
      </c>
      <c r="D17" s="9" t="str">
        <f>IFERROR(__xludf.DUMMYFUNCTION("""COMPUTED_VALUE"""),"臺北市私立大同高級中學")</f>
        <v>臺北市私立大同高級中學</v>
      </c>
      <c r="E17" s="9" t="str">
        <f>IFERROR(__xludf.DUMMYFUNCTION("""COMPUTED_VALUE"""),"資料處理科")</f>
        <v>資料處理科</v>
      </c>
      <c r="F17" s="9" t="str">
        <f>IFERROR(__xludf.DUMMYFUNCTION("""COMPUTED_VALUE"""),"一年級")</f>
        <v>一年級</v>
      </c>
      <c r="G17" s="9" t="str">
        <f>IFERROR(__xludf.DUMMYFUNCTION("""COMPUTED_VALUE"""),"獎狀")</f>
        <v>獎狀</v>
      </c>
      <c r="H17" s="9"/>
    </row>
    <row r="18">
      <c r="A18" s="13" t="s">
        <v>11</v>
      </c>
      <c r="B18" s="9" t="str">
        <f>IFERROR(__xludf.DUMMYFUNCTION("""COMPUTED_VALUE"""),"張O傑")</f>
        <v>張O傑</v>
      </c>
      <c r="C18" s="9" t="str">
        <f>IFERROR(__xludf.DUMMYFUNCTION("""COMPUTED_VALUE"""),"st1*****2@ms.tsh.ttu.edu.tw")</f>
        <v>st1*****2@ms.tsh.ttu.edu.tw</v>
      </c>
      <c r="D18" s="9" t="str">
        <f>IFERROR(__xludf.DUMMYFUNCTION("""COMPUTED_VALUE"""),"臺北市私立大同高級中學")</f>
        <v>臺北市私立大同高級中學</v>
      </c>
      <c r="E18" s="9" t="str">
        <f>IFERROR(__xludf.DUMMYFUNCTION("""COMPUTED_VALUE"""),"資料處理科")</f>
        <v>資料處理科</v>
      </c>
      <c r="F18" s="9" t="str">
        <f>IFERROR(__xludf.DUMMYFUNCTION("""COMPUTED_VALUE"""),"一年級")</f>
        <v>一年級</v>
      </c>
      <c r="G18" s="9" t="str">
        <f>IFERROR(__xludf.DUMMYFUNCTION("""COMPUTED_VALUE"""),"獎狀")</f>
        <v>獎狀</v>
      </c>
      <c r="H18" s="9"/>
    </row>
    <row r="19">
      <c r="A19" s="13" t="s">
        <v>11</v>
      </c>
      <c r="B19" s="9" t="str">
        <f>IFERROR(__xludf.DUMMYFUNCTION("""COMPUTED_VALUE"""),"陳O悕")</f>
        <v>陳O悕</v>
      </c>
      <c r="C19" s="9" t="str">
        <f>IFERROR(__xludf.DUMMYFUNCTION("""COMPUTED_VALUE"""),"jes*****0510@gmail.com")</f>
        <v>jes*****0510@gmail.com</v>
      </c>
      <c r="D19" s="9" t="str">
        <f>IFERROR(__xludf.DUMMYFUNCTION("""COMPUTED_VALUE"""),"臺北市私立大同高級中學")</f>
        <v>臺北市私立大同高級中學</v>
      </c>
      <c r="E19" s="9" t="str">
        <f>IFERROR(__xludf.DUMMYFUNCTION("""COMPUTED_VALUE"""),"資料處理科")</f>
        <v>資料處理科</v>
      </c>
      <c r="F19" s="9" t="str">
        <f>IFERROR(__xludf.DUMMYFUNCTION("""COMPUTED_VALUE"""),"一年級")</f>
        <v>一年級</v>
      </c>
      <c r="G19" s="9" t="str">
        <f>IFERROR(__xludf.DUMMYFUNCTION("""COMPUTED_VALUE"""),"○商品卡$500")</f>
        <v>○商品卡$500</v>
      </c>
      <c r="H19" s="9"/>
    </row>
    <row r="20">
      <c r="A20" s="13" t="s">
        <v>11</v>
      </c>
      <c r="B20" s="9" t="str">
        <f>IFERROR(__xludf.DUMMYFUNCTION("""COMPUTED_VALUE"""),"王O庭")</f>
        <v>王O庭</v>
      </c>
      <c r="C20" s="9" t="str">
        <f>IFERROR(__xludf.DUMMYFUNCTION("""COMPUTED_VALUE"""),"st1*****2@ms.tsh.ttu.edu.tw")</f>
        <v>st1*****2@ms.tsh.ttu.edu.tw</v>
      </c>
      <c r="D20" s="9" t="str">
        <f>IFERROR(__xludf.DUMMYFUNCTION("""COMPUTED_VALUE"""),"臺北市私立大同高級中學")</f>
        <v>臺北市私立大同高級中學</v>
      </c>
      <c r="E20" s="9" t="str">
        <f>IFERROR(__xludf.DUMMYFUNCTION("""COMPUTED_VALUE"""),"資料處理科")</f>
        <v>資料處理科</v>
      </c>
      <c r="F20" s="9" t="str">
        <f>IFERROR(__xludf.DUMMYFUNCTION("""COMPUTED_VALUE"""),"一年級")</f>
        <v>一年級</v>
      </c>
      <c r="G20" s="9" t="str">
        <f>IFERROR(__xludf.DUMMYFUNCTION("""COMPUTED_VALUE"""),"獎狀")</f>
        <v>獎狀</v>
      </c>
      <c r="H20" s="9"/>
    </row>
    <row r="21">
      <c r="A21" s="13" t="s">
        <v>11</v>
      </c>
      <c r="B21" s="9" t="str">
        <f>IFERROR(__xludf.DUMMYFUNCTION("""COMPUTED_VALUE"""),"李O騏")</f>
        <v>李O騏</v>
      </c>
      <c r="C21" s="9" t="str">
        <f>IFERROR(__xludf.DUMMYFUNCTION("""COMPUTED_VALUE"""),"st1*****4@ms.tsh.ttu.edu.tw")</f>
        <v>st1*****4@ms.tsh.ttu.edu.tw</v>
      </c>
      <c r="D21" s="9" t="str">
        <f>IFERROR(__xludf.DUMMYFUNCTION("""COMPUTED_VALUE"""),"臺北市私立大同高級中學")</f>
        <v>臺北市私立大同高級中學</v>
      </c>
      <c r="E21" s="9" t="str">
        <f>IFERROR(__xludf.DUMMYFUNCTION("""COMPUTED_VALUE"""),"資料處理科")</f>
        <v>資料處理科</v>
      </c>
      <c r="F21" s="9" t="str">
        <f>IFERROR(__xludf.DUMMYFUNCTION("""COMPUTED_VALUE"""),"一年級")</f>
        <v>一年級</v>
      </c>
      <c r="G21" s="9" t="str">
        <f>IFERROR(__xludf.DUMMYFUNCTION("""COMPUTED_VALUE"""),"獎狀")</f>
        <v>獎狀</v>
      </c>
      <c r="H21" s="9"/>
    </row>
    <row r="22">
      <c r="A22" s="13" t="s">
        <v>11</v>
      </c>
      <c r="B22" s="9" t="str">
        <f>IFERROR(__xludf.DUMMYFUNCTION("""COMPUTED_VALUE"""),"田O僥")</f>
        <v>田O僥</v>
      </c>
      <c r="C22" s="9" t="str">
        <f>IFERROR(__xludf.DUMMYFUNCTION("""COMPUTED_VALUE"""),"st1*****3@ms.tsh.ttu.edu.tw")</f>
        <v>st1*****3@ms.tsh.ttu.edu.tw</v>
      </c>
      <c r="D22" s="9" t="str">
        <f>IFERROR(__xludf.DUMMYFUNCTION("""COMPUTED_VALUE"""),"臺北市私立大同高級中學")</f>
        <v>臺北市私立大同高級中學</v>
      </c>
      <c r="E22" s="9" t="str">
        <f>IFERROR(__xludf.DUMMYFUNCTION("""COMPUTED_VALUE"""),"資料處理科")</f>
        <v>資料處理科</v>
      </c>
      <c r="F22" s="9" t="str">
        <f>IFERROR(__xludf.DUMMYFUNCTION("""COMPUTED_VALUE"""),"一年級")</f>
        <v>一年級</v>
      </c>
      <c r="G22" s="9" t="str">
        <f>IFERROR(__xludf.DUMMYFUNCTION("""COMPUTED_VALUE"""),"獎狀")</f>
        <v>獎狀</v>
      </c>
      <c r="H22" s="9"/>
    </row>
    <row r="23">
      <c r="A23" s="13" t="s">
        <v>11</v>
      </c>
      <c r="B23" s="9" t="str">
        <f>IFERROR(__xludf.DUMMYFUNCTION("""COMPUTED_VALUE"""),"張O淵")</f>
        <v>張O淵</v>
      </c>
      <c r="C23" s="9" t="str">
        <f>IFERROR(__xludf.DUMMYFUNCTION("""COMPUTED_VALUE"""),"st1*****1@ms.tsh.ttu.edu.tw")</f>
        <v>st1*****1@ms.tsh.ttu.edu.tw</v>
      </c>
      <c r="D23" s="9" t="str">
        <f>IFERROR(__xludf.DUMMYFUNCTION("""COMPUTED_VALUE"""),"臺北市私立大同高級中學")</f>
        <v>臺北市私立大同高級中學</v>
      </c>
      <c r="E23" s="9" t="str">
        <f>IFERROR(__xludf.DUMMYFUNCTION("""COMPUTED_VALUE"""),"資料處理科")</f>
        <v>資料處理科</v>
      </c>
      <c r="F23" s="9" t="str">
        <f>IFERROR(__xludf.DUMMYFUNCTION("""COMPUTED_VALUE"""),"一年級")</f>
        <v>一年級</v>
      </c>
      <c r="G23" s="9" t="str">
        <f>IFERROR(__xludf.DUMMYFUNCTION("""COMPUTED_VALUE"""),"獎狀")</f>
        <v>獎狀</v>
      </c>
      <c r="H23" s="9"/>
    </row>
    <row r="24">
      <c r="A24" s="13" t="s">
        <v>11</v>
      </c>
      <c r="B24" s="9" t="str">
        <f>IFERROR(__xludf.DUMMYFUNCTION("""COMPUTED_VALUE"""),"簡O妤")</f>
        <v>簡O妤</v>
      </c>
      <c r="C24" s="9" t="str">
        <f>IFERROR(__xludf.DUMMYFUNCTION("""COMPUTED_VALUE"""),"st1*****1@ms.tsh.ttu.edu.tw")</f>
        <v>st1*****1@ms.tsh.ttu.edu.tw</v>
      </c>
      <c r="D24" s="9" t="str">
        <f>IFERROR(__xludf.DUMMYFUNCTION("""COMPUTED_VALUE"""),"臺北市私立大同高級中學")</f>
        <v>臺北市私立大同高級中學</v>
      </c>
      <c r="E24" s="9" t="str">
        <f>IFERROR(__xludf.DUMMYFUNCTION("""COMPUTED_VALUE"""),"資料處理科")</f>
        <v>資料處理科</v>
      </c>
      <c r="F24" s="9" t="str">
        <f>IFERROR(__xludf.DUMMYFUNCTION("""COMPUTED_VALUE"""),"一年級")</f>
        <v>一年級</v>
      </c>
      <c r="G24" s="9" t="str">
        <f>IFERROR(__xludf.DUMMYFUNCTION("""COMPUTED_VALUE"""),"獎狀")</f>
        <v>獎狀</v>
      </c>
      <c r="H24" s="9"/>
    </row>
    <row r="25">
      <c r="A25" s="13" t="s">
        <v>11</v>
      </c>
      <c r="B25" s="9" t="str">
        <f>IFERROR(__xludf.DUMMYFUNCTION("""COMPUTED_VALUE"""),"王O驊")</f>
        <v>王O驊</v>
      </c>
      <c r="C25" s="9" t="str">
        <f>IFERROR(__xludf.DUMMYFUNCTION("""COMPUTED_VALUE"""),"A52*****sa@gmail.com")</f>
        <v>A52*****sa@gmail.com</v>
      </c>
      <c r="D25" s="9" t="str">
        <f>IFERROR(__xludf.DUMMYFUNCTION("""COMPUTED_VALUE"""),"臺北市私立大同高級中學")</f>
        <v>臺北市私立大同高級中學</v>
      </c>
      <c r="E25" s="9" t="str">
        <f>IFERROR(__xludf.DUMMYFUNCTION("""COMPUTED_VALUE"""),"資料處理科")</f>
        <v>資料處理科</v>
      </c>
      <c r="F25" s="9" t="str">
        <f>IFERROR(__xludf.DUMMYFUNCTION("""COMPUTED_VALUE"""),"一年級")</f>
        <v>一年級</v>
      </c>
      <c r="G25" s="9" t="str">
        <f>IFERROR(__xludf.DUMMYFUNCTION("""COMPUTED_VALUE"""),"★商品卡$1000")</f>
        <v>★商品卡$1000</v>
      </c>
      <c r="H25" s="9"/>
    </row>
    <row r="26">
      <c r="A26" s="13" t="s">
        <v>11</v>
      </c>
      <c r="B26" s="9" t="str">
        <f>IFERROR(__xludf.DUMMYFUNCTION("""COMPUTED_VALUE"""),"葉O君")</f>
        <v>葉O君</v>
      </c>
      <c r="C26" s="9" t="str">
        <f>IFERROR(__xludf.DUMMYFUNCTION("""COMPUTED_VALUE"""),"st1*****6@ms.tsh.ttu.edu.tw")</f>
        <v>st1*****6@ms.tsh.ttu.edu.tw</v>
      </c>
      <c r="D26" s="9" t="str">
        <f>IFERROR(__xludf.DUMMYFUNCTION("""COMPUTED_VALUE"""),"臺北市私立大同高級中學")</f>
        <v>臺北市私立大同高級中學</v>
      </c>
      <c r="E26" s="9" t="str">
        <f>IFERROR(__xludf.DUMMYFUNCTION("""COMPUTED_VALUE"""),"資料處理科")</f>
        <v>資料處理科</v>
      </c>
      <c r="F26" s="9" t="str">
        <f>IFERROR(__xludf.DUMMYFUNCTION("""COMPUTED_VALUE"""),"一年級")</f>
        <v>一年級</v>
      </c>
      <c r="G26" s="9" t="str">
        <f>IFERROR(__xludf.DUMMYFUNCTION("""COMPUTED_VALUE"""),"獎狀")</f>
        <v>獎狀</v>
      </c>
      <c r="H26" s="9"/>
    </row>
    <row r="27">
      <c r="A27" s="13" t="s">
        <v>11</v>
      </c>
      <c r="B27" s="9" t="str">
        <f>IFERROR(__xludf.DUMMYFUNCTION("""COMPUTED_VALUE"""),"陳O蓉")</f>
        <v>陳O蓉</v>
      </c>
      <c r="C27" s="9" t="str">
        <f>IFERROR(__xludf.DUMMYFUNCTION("""COMPUTED_VALUE"""),"st1*****2@ms.tsh.ttu.edu.tw")</f>
        <v>st1*****2@ms.tsh.ttu.edu.tw</v>
      </c>
      <c r="D27" s="9" t="str">
        <f>IFERROR(__xludf.DUMMYFUNCTION("""COMPUTED_VALUE"""),"臺北市私立大同高級中學")</f>
        <v>臺北市私立大同高級中學</v>
      </c>
      <c r="E27" s="9" t="str">
        <f>IFERROR(__xludf.DUMMYFUNCTION("""COMPUTED_VALUE"""),"資料處理科")</f>
        <v>資料處理科</v>
      </c>
      <c r="F27" s="9" t="str">
        <f>IFERROR(__xludf.DUMMYFUNCTION("""COMPUTED_VALUE"""),"一年級")</f>
        <v>一年級</v>
      </c>
      <c r="G27" s="9" t="str">
        <f>IFERROR(__xludf.DUMMYFUNCTION("""COMPUTED_VALUE"""),"獎狀")</f>
        <v>獎狀</v>
      </c>
      <c r="H27" s="9"/>
    </row>
    <row r="28">
      <c r="A28" s="13" t="s">
        <v>11</v>
      </c>
      <c r="B28" s="9" t="str">
        <f>IFERROR(__xludf.DUMMYFUNCTION("""COMPUTED_VALUE"""),"葉O廷")</f>
        <v>葉O廷</v>
      </c>
      <c r="C28" s="9" t="str">
        <f>IFERROR(__xludf.DUMMYFUNCTION("""COMPUTED_VALUE"""),"st1*****3@ms.tsh.ttu.edu.tw")</f>
        <v>st1*****3@ms.tsh.ttu.edu.tw</v>
      </c>
      <c r="D28" s="9" t="str">
        <f>IFERROR(__xludf.DUMMYFUNCTION("""COMPUTED_VALUE"""),"臺北市私立大同高級中學")</f>
        <v>臺北市私立大同高級中學</v>
      </c>
      <c r="E28" s="9" t="str">
        <f>IFERROR(__xludf.DUMMYFUNCTION("""COMPUTED_VALUE"""),"資料處理科")</f>
        <v>資料處理科</v>
      </c>
      <c r="F28" s="9" t="str">
        <f>IFERROR(__xludf.DUMMYFUNCTION("""COMPUTED_VALUE"""),"一年級")</f>
        <v>一年級</v>
      </c>
      <c r="G28" s="9" t="str">
        <f>IFERROR(__xludf.DUMMYFUNCTION("""COMPUTED_VALUE"""),"■商品卡$200")</f>
        <v>■商品卡$200</v>
      </c>
      <c r="H28" s="9"/>
    </row>
    <row r="29">
      <c r="A29" s="13" t="s">
        <v>11</v>
      </c>
      <c r="B29" s="9" t="str">
        <f>IFERROR(__xludf.DUMMYFUNCTION("""COMPUTED_VALUE"""),"林O彤")</f>
        <v>林O彤</v>
      </c>
      <c r="C29" s="9" t="str">
        <f>IFERROR(__xludf.DUMMYFUNCTION("""COMPUTED_VALUE"""),"st1*****7@ms.tsh.ttu.edu.tw")</f>
        <v>st1*****7@ms.tsh.ttu.edu.tw</v>
      </c>
      <c r="D29" s="9" t="str">
        <f>IFERROR(__xludf.DUMMYFUNCTION("""COMPUTED_VALUE"""),"臺北市私立大同高級中學")</f>
        <v>臺北市私立大同高級中學</v>
      </c>
      <c r="E29" s="9" t="str">
        <f>IFERROR(__xludf.DUMMYFUNCTION("""COMPUTED_VALUE"""),"資料處理科")</f>
        <v>資料處理科</v>
      </c>
      <c r="F29" s="9" t="str">
        <f>IFERROR(__xludf.DUMMYFUNCTION("""COMPUTED_VALUE"""),"一年級")</f>
        <v>一年級</v>
      </c>
      <c r="G29" s="9" t="str">
        <f>IFERROR(__xludf.DUMMYFUNCTION("""COMPUTED_VALUE"""),"獎狀")</f>
        <v>獎狀</v>
      </c>
      <c r="H29" s="9"/>
    </row>
    <row r="30">
      <c r="A30" s="13" t="s">
        <v>11</v>
      </c>
      <c r="B30" s="9" t="str">
        <f>IFERROR(__xludf.DUMMYFUNCTION("""COMPUTED_VALUE"""),"柯O元")</f>
        <v>柯O元</v>
      </c>
      <c r="C30" s="9" t="str">
        <f>IFERROR(__xludf.DUMMYFUNCTION("""COMPUTED_VALUE"""),"st1*****9@ms.tsh.ttu.edu.tw")</f>
        <v>st1*****9@ms.tsh.ttu.edu.tw</v>
      </c>
      <c r="D30" s="9" t="str">
        <f>IFERROR(__xludf.DUMMYFUNCTION("""COMPUTED_VALUE"""),"臺北市私立大同高級中學")</f>
        <v>臺北市私立大同高級中學</v>
      </c>
      <c r="E30" s="9" t="str">
        <f>IFERROR(__xludf.DUMMYFUNCTION("""COMPUTED_VALUE"""),"資料處理科")</f>
        <v>資料處理科</v>
      </c>
      <c r="F30" s="9" t="str">
        <f>IFERROR(__xludf.DUMMYFUNCTION("""COMPUTED_VALUE"""),"一年級")</f>
        <v>一年級</v>
      </c>
      <c r="G30" s="9" t="str">
        <f>IFERROR(__xludf.DUMMYFUNCTION("""COMPUTED_VALUE"""),"獎狀")</f>
        <v>獎狀</v>
      </c>
      <c r="H30" s="9"/>
    </row>
    <row r="31">
      <c r="A31" s="13" t="s">
        <v>11</v>
      </c>
      <c r="B31" s="9" t="str">
        <f>IFERROR(__xludf.DUMMYFUNCTION("""COMPUTED_VALUE"""),"楊O心")</f>
        <v>楊O心</v>
      </c>
      <c r="C31" s="9" t="str">
        <f>IFERROR(__xludf.DUMMYFUNCTION("""COMPUTED_VALUE"""),"st1*****5@ms.tsh.ttu.edu.tw")</f>
        <v>st1*****5@ms.tsh.ttu.edu.tw</v>
      </c>
      <c r="D31" s="9" t="str">
        <f>IFERROR(__xludf.DUMMYFUNCTION("""COMPUTED_VALUE"""),"臺北市私立大同高級中學")</f>
        <v>臺北市私立大同高級中學</v>
      </c>
      <c r="E31" s="9" t="str">
        <f>IFERROR(__xludf.DUMMYFUNCTION("""COMPUTED_VALUE"""),"資料處理科")</f>
        <v>資料處理科</v>
      </c>
      <c r="F31" s="9" t="str">
        <f>IFERROR(__xludf.DUMMYFUNCTION("""COMPUTED_VALUE"""),"一年級")</f>
        <v>一年級</v>
      </c>
      <c r="G31" s="9" t="str">
        <f>IFERROR(__xludf.DUMMYFUNCTION("""COMPUTED_VALUE"""),"獎狀")</f>
        <v>獎狀</v>
      </c>
      <c r="H31" s="9"/>
    </row>
    <row r="32">
      <c r="A32" s="13" t="s">
        <v>11</v>
      </c>
      <c r="B32" s="9" t="str">
        <f>IFERROR(__xludf.DUMMYFUNCTION("""COMPUTED_VALUE"""),"謝O璋")</f>
        <v>謝O璋</v>
      </c>
      <c r="C32" s="9" t="str">
        <f>IFERROR(__xludf.DUMMYFUNCTION("""COMPUTED_VALUE"""),"st1*****5@ms.tsh.ttu.edu.tw")</f>
        <v>st1*****5@ms.tsh.ttu.edu.tw</v>
      </c>
      <c r="D32" s="9" t="str">
        <f>IFERROR(__xludf.DUMMYFUNCTION("""COMPUTED_VALUE"""),"臺北市私立大同高級中學")</f>
        <v>臺北市私立大同高級中學</v>
      </c>
      <c r="E32" s="9" t="str">
        <f>IFERROR(__xludf.DUMMYFUNCTION("""COMPUTED_VALUE"""),"資料處理科")</f>
        <v>資料處理科</v>
      </c>
      <c r="F32" s="9" t="str">
        <f>IFERROR(__xludf.DUMMYFUNCTION("""COMPUTED_VALUE"""),"一年級")</f>
        <v>一年級</v>
      </c>
      <c r="G32" s="9" t="str">
        <f>IFERROR(__xludf.DUMMYFUNCTION("""COMPUTED_VALUE"""),"★商品卡$1000")</f>
        <v>★商品卡$1000</v>
      </c>
      <c r="H32" s="9"/>
    </row>
    <row r="33">
      <c r="A33" s="13" t="s">
        <v>11</v>
      </c>
      <c r="B33" s="9" t="str">
        <f>IFERROR(__xludf.DUMMYFUNCTION("""COMPUTED_VALUE"""),"廖O閔")</f>
        <v>廖O閔</v>
      </c>
      <c r="C33" s="9" t="str">
        <f>IFERROR(__xludf.DUMMYFUNCTION("""COMPUTED_VALUE"""),"st1*****4@ms.tsh.ttu.edu.tw")</f>
        <v>st1*****4@ms.tsh.ttu.edu.tw</v>
      </c>
      <c r="D33" s="9" t="str">
        <f>IFERROR(__xludf.DUMMYFUNCTION("""COMPUTED_VALUE"""),"臺北市私立大同高級中學")</f>
        <v>臺北市私立大同高級中學</v>
      </c>
      <c r="E33" s="9" t="str">
        <f>IFERROR(__xludf.DUMMYFUNCTION("""COMPUTED_VALUE"""),"資料處理科")</f>
        <v>資料處理科</v>
      </c>
      <c r="F33" s="9" t="str">
        <f>IFERROR(__xludf.DUMMYFUNCTION("""COMPUTED_VALUE"""),"一年級")</f>
        <v>一年級</v>
      </c>
      <c r="G33" s="9" t="str">
        <f>IFERROR(__xludf.DUMMYFUNCTION("""COMPUTED_VALUE"""),"獎狀")</f>
        <v>獎狀</v>
      </c>
      <c r="H33" s="9"/>
    </row>
    <row r="34">
      <c r="A34" s="13" t="s">
        <v>11</v>
      </c>
      <c r="B34" s="9" t="str">
        <f>IFERROR(__xludf.DUMMYFUNCTION("""COMPUTED_VALUE"""),"陳O")</f>
        <v>陳O</v>
      </c>
      <c r="C34" s="9" t="str">
        <f>IFERROR(__xludf.DUMMYFUNCTION("""COMPUTED_VALUE"""),"tim*****hen0316@gmail.com")</f>
        <v>tim*****hen0316@gmail.com</v>
      </c>
      <c r="D34" s="9" t="str">
        <f>IFERROR(__xludf.DUMMYFUNCTION("""COMPUTED_VALUE"""),"臺北市私立大同高級中學")</f>
        <v>臺北市私立大同高級中學</v>
      </c>
      <c r="E34" s="9" t="str">
        <f>IFERROR(__xludf.DUMMYFUNCTION("""COMPUTED_VALUE"""),"資料處理科")</f>
        <v>資料處理科</v>
      </c>
      <c r="F34" s="9" t="str">
        <f>IFERROR(__xludf.DUMMYFUNCTION("""COMPUTED_VALUE"""),"一年級")</f>
        <v>一年級</v>
      </c>
      <c r="G34" s="9" t="str">
        <f>IFERROR(__xludf.DUMMYFUNCTION("""COMPUTED_VALUE"""),"獎狀")</f>
        <v>獎狀</v>
      </c>
      <c r="H34" s="9"/>
    </row>
    <row r="35">
      <c r="A35" s="13" t="s">
        <v>11</v>
      </c>
      <c r="B35" s="9" t="str">
        <f>IFERROR(__xludf.DUMMYFUNCTION("""COMPUTED_VALUE"""),"欒O君")</f>
        <v>欒O君</v>
      </c>
      <c r="C35" s="9" t="str">
        <f>IFERROR(__xludf.DUMMYFUNCTION("""COMPUTED_VALUE"""),"st1*****2@ms.tsh.ttu.edu.tw")</f>
        <v>st1*****2@ms.tsh.ttu.edu.tw</v>
      </c>
      <c r="D35" s="9" t="str">
        <f>IFERROR(__xludf.DUMMYFUNCTION("""COMPUTED_VALUE"""),"臺北市私立大同高級中學")</f>
        <v>臺北市私立大同高級中學</v>
      </c>
      <c r="E35" s="9" t="str">
        <f>IFERROR(__xludf.DUMMYFUNCTION("""COMPUTED_VALUE"""),"資料處理科")</f>
        <v>資料處理科</v>
      </c>
      <c r="F35" s="9" t="str">
        <f>IFERROR(__xludf.DUMMYFUNCTION("""COMPUTED_VALUE"""),"二年級")</f>
        <v>二年級</v>
      </c>
      <c r="G35" s="9" t="str">
        <f>IFERROR(__xludf.DUMMYFUNCTION("""COMPUTED_VALUE"""),"獎狀")</f>
        <v>獎狀</v>
      </c>
      <c r="H35" s="9"/>
    </row>
    <row r="36">
      <c r="A36" s="13" t="s">
        <v>11</v>
      </c>
      <c r="B36" s="9" t="str">
        <f>IFERROR(__xludf.DUMMYFUNCTION("""COMPUTED_VALUE"""),"張O語")</f>
        <v>張O語</v>
      </c>
      <c r="C36" s="9" t="str">
        <f>IFERROR(__xludf.DUMMYFUNCTION("""COMPUTED_VALUE"""),"st1*****8@ms.tsh.ttu.edu.tw")</f>
        <v>st1*****8@ms.tsh.ttu.edu.tw</v>
      </c>
      <c r="D36" s="9" t="str">
        <f>IFERROR(__xludf.DUMMYFUNCTION("""COMPUTED_VALUE"""),"臺北市私立大同高級中學")</f>
        <v>臺北市私立大同高級中學</v>
      </c>
      <c r="E36" s="9" t="str">
        <f>IFERROR(__xludf.DUMMYFUNCTION("""COMPUTED_VALUE"""),"資料處理科")</f>
        <v>資料處理科</v>
      </c>
      <c r="F36" s="9" t="str">
        <f>IFERROR(__xludf.DUMMYFUNCTION("""COMPUTED_VALUE"""),"二年級")</f>
        <v>二年級</v>
      </c>
      <c r="G36" s="9" t="str">
        <f>IFERROR(__xludf.DUMMYFUNCTION("""COMPUTED_VALUE"""),"獎狀")</f>
        <v>獎狀</v>
      </c>
      <c r="H36" s="9"/>
    </row>
    <row r="37">
      <c r="A37" s="13" t="s">
        <v>11</v>
      </c>
      <c r="B37" s="9" t="str">
        <f>IFERROR(__xludf.DUMMYFUNCTION("""COMPUTED_VALUE"""),"莊O婕")</f>
        <v>莊O婕</v>
      </c>
      <c r="C37" s="9" t="str">
        <f>IFERROR(__xludf.DUMMYFUNCTION("""COMPUTED_VALUE"""),"112*****cogsh.tp.edu.tw")</f>
        <v>112*****cogsh.tp.edu.tw</v>
      </c>
      <c r="D37" s="9" t="str">
        <f>IFERROR(__xludf.DUMMYFUNCTION("""COMPUTED_VALUE"""),"臺北市私立金甌女子高級中學")</f>
        <v>臺北市私立金甌女子高級中學</v>
      </c>
      <c r="E37" s="9" t="str">
        <f>IFERROR(__xludf.DUMMYFUNCTION("""COMPUTED_VALUE"""),"應英科")</f>
        <v>應英科</v>
      </c>
      <c r="F37" s="9" t="str">
        <f>IFERROR(__xludf.DUMMYFUNCTION("""COMPUTED_VALUE"""),"二年級")</f>
        <v>二年級</v>
      </c>
      <c r="G37" s="9" t="str">
        <f>IFERROR(__xludf.DUMMYFUNCTION("""COMPUTED_VALUE"""),"獎狀")</f>
        <v>獎狀</v>
      </c>
      <c r="H37" s="9"/>
    </row>
    <row r="38">
      <c r="A38" s="13" t="s">
        <v>11</v>
      </c>
      <c r="B38" s="9" t="str">
        <f>IFERROR(__xludf.DUMMYFUNCTION("""COMPUTED_VALUE"""),"徐O婷")</f>
        <v>徐O婷</v>
      </c>
      <c r="C38" s="9" t="str">
        <f>IFERROR(__xludf.DUMMYFUNCTION("""COMPUTED_VALUE"""),"112*****cogsh.tp.edu.tw")</f>
        <v>112*****cogsh.tp.edu.tw</v>
      </c>
      <c r="D38" s="9" t="str">
        <f>IFERROR(__xludf.DUMMYFUNCTION("""COMPUTED_VALUE"""),"臺北市私立金甌女子高級中學")</f>
        <v>臺北市私立金甌女子高級中學</v>
      </c>
      <c r="E38" s="9" t="str">
        <f>IFERROR(__xludf.DUMMYFUNCTION("""COMPUTED_VALUE"""),"應英科")</f>
        <v>應英科</v>
      </c>
      <c r="F38" s="9" t="str">
        <f>IFERROR(__xludf.DUMMYFUNCTION("""COMPUTED_VALUE"""),"二年級")</f>
        <v>二年級</v>
      </c>
      <c r="G38" s="9" t="str">
        <f>IFERROR(__xludf.DUMMYFUNCTION("""COMPUTED_VALUE"""),"獎狀")</f>
        <v>獎狀</v>
      </c>
      <c r="H38" s="9"/>
    </row>
    <row r="39">
      <c r="A39" s="13" t="s">
        <v>11</v>
      </c>
      <c r="B39" s="9" t="str">
        <f>IFERROR(__xludf.DUMMYFUNCTION("""COMPUTED_VALUE"""),"陳O彣")</f>
        <v>陳O彣</v>
      </c>
      <c r="C39" s="9" t="str">
        <f>IFERROR(__xludf.DUMMYFUNCTION("""COMPUTED_VALUE"""),"112*****cogsh.tp.edu.tw")</f>
        <v>112*****cogsh.tp.edu.tw</v>
      </c>
      <c r="D39" s="9" t="str">
        <f>IFERROR(__xludf.DUMMYFUNCTION("""COMPUTED_VALUE"""),"臺北市私立金甌女子高級中學")</f>
        <v>臺北市私立金甌女子高級中學</v>
      </c>
      <c r="E39" s="9" t="str">
        <f>IFERROR(__xludf.DUMMYFUNCTION("""COMPUTED_VALUE"""),"應英科")</f>
        <v>應英科</v>
      </c>
      <c r="F39" s="9" t="str">
        <f>IFERROR(__xludf.DUMMYFUNCTION("""COMPUTED_VALUE"""),"二年級")</f>
        <v>二年級</v>
      </c>
      <c r="G39" s="9" t="str">
        <f>IFERROR(__xludf.DUMMYFUNCTION("""COMPUTED_VALUE"""),"獎狀")</f>
        <v>獎狀</v>
      </c>
      <c r="H39" s="9"/>
    </row>
    <row r="40">
      <c r="A40" s="13" t="s">
        <v>11</v>
      </c>
      <c r="B40" s="9" t="str">
        <f>IFERROR(__xludf.DUMMYFUNCTION("""COMPUTED_VALUE"""),"陳O佳")</f>
        <v>陳O佳</v>
      </c>
      <c r="C40" s="9" t="str">
        <f>IFERROR(__xludf.DUMMYFUNCTION("""COMPUTED_VALUE"""),"112*****cogsh.tp.edu.tw")</f>
        <v>112*****cogsh.tp.edu.tw</v>
      </c>
      <c r="D40" s="9" t="str">
        <f>IFERROR(__xludf.DUMMYFUNCTION("""COMPUTED_VALUE"""),"臺北市私立金甌女子高級中學")</f>
        <v>臺北市私立金甌女子高級中學</v>
      </c>
      <c r="E40" s="9" t="str">
        <f>IFERROR(__xludf.DUMMYFUNCTION("""COMPUTED_VALUE"""),"應英科")</f>
        <v>應英科</v>
      </c>
      <c r="F40" s="9" t="str">
        <f>IFERROR(__xludf.DUMMYFUNCTION("""COMPUTED_VALUE"""),"二年級")</f>
        <v>二年級</v>
      </c>
      <c r="G40" s="9" t="str">
        <f>IFERROR(__xludf.DUMMYFUNCTION("""COMPUTED_VALUE"""),"獎狀")</f>
        <v>獎狀</v>
      </c>
      <c r="H40" s="9"/>
    </row>
    <row r="41">
      <c r="A41" s="13" t="s">
        <v>11</v>
      </c>
      <c r="B41" s="9" t="str">
        <f>IFERROR(__xludf.DUMMYFUNCTION("""COMPUTED_VALUE"""),"董O未")</f>
        <v>董O未</v>
      </c>
      <c r="C41" s="9" t="str">
        <f>IFERROR(__xludf.DUMMYFUNCTION("""COMPUTED_VALUE"""),"112*****cogsh.tp.edu.tw")</f>
        <v>112*****cogsh.tp.edu.tw</v>
      </c>
      <c r="D41" s="9" t="str">
        <f>IFERROR(__xludf.DUMMYFUNCTION("""COMPUTED_VALUE"""),"臺北市私立金甌女子高級中學")</f>
        <v>臺北市私立金甌女子高級中學</v>
      </c>
      <c r="E41" s="9" t="str">
        <f>IFERROR(__xludf.DUMMYFUNCTION("""COMPUTED_VALUE"""),"應英科")</f>
        <v>應英科</v>
      </c>
      <c r="F41" s="9" t="str">
        <f>IFERROR(__xludf.DUMMYFUNCTION("""COMPUTED_VALUE"""),"二年級")</f>
        <v>二年級</v>
      </c>
      <c r="G41" s="9" t="str">
        <f>IFERROR(__xludf.DUMMYFUNCTION("""COMPUTED_VALUE"""),"獎狀")</f>
        <v>獎狀</v>
      </c>
      <c r="H41" s="9"/>
    </row>
    <row r="42">
      <c r="A42" s="13" t="s">
        <v>11</v>
      </c>
      <c r="B42" s="9" t="str">
        <f>IFERROR(__xludf.DUMMYFUNCTION("""COMPUTED_VALUE"""),"黃O庭")</f>
        <v>黃O庭</v>
      </c>
      <c r="C42" s="9" t="str">
        <f>IFERROR(__xludf.DUMMYFUNCTION("""COMPUTED_VALUE"""),"112*****cogsh.tp.edu.tw")</f>
        <v>112*****cogsh.tp.edu.tw</v>
      </c>
      <c r="D42" s="9" t="str">
        <f>IFERROR(__xludf.DUMMYFUNCTION("""COMPUTED_VALUE"""),"臺北市私立金甌女子高級中學")</f>
        <v>臺北市私立金甌女子高級中學</v>
      </c>
      <c r="E42" s="9" t="str">
        <f>IFERROR(__xludf.DUMMYFUNCTION("""COMPUTED_VALUE"""),"應英科")</f>
        <v>應英科</v>
      </c>
      <c r="F42" s="9" t="str">
        <f>IFERROR(__xludf.DUMMYFUNCTION("""COMPUTED_VALUE"""),"二年級")</f>
        <v>二年級</v>
      </c>
      <c r="G42" s="9" t="str">
        <f>IFERROR(__xludf.DUMMYFUNCTION("""COMPUTED_VALUE"""),"獎狀")</f>
        <v>獎狀</v>
      </c>
      <c r="H42" s="9"/>
    </row>
    <row r="43">
      <c r="A43" s="13" t="s">
        <v>11</v>
      </c>
      <c r="B43" s="9" t="str">
        <f>IFERROR(__xludf.DUMMYFUNCTION("""COMPUTED_VALUE"""),"杜O妮")</f>
        <v>杜O妮</v>
      </c>
      <c r="C43" s="9" t="str">
        <f>IFERROR(__xludf.DUMMYFUNCTION("""COMPUTED_VALUE"""),"112*****cogsh.tp.edu.tw")</f>
        <v>112*****cogsh.tp.edu.tw</v>
      </c>
      <c r="D43" s="9" t="str">
        <f>IFERROR(__xludf.DUMMYFUNCTION("""COMPUTED_VALUE"""),"臺北市私立金甌女子高級中學")</f>
        <v>臺北市私立金甌女子高級中學</v>
      </c>
      <c r="E43" s="9" t="str">
        <f>IFERROR(__xludf.DUMMYFUNCTION("""COMPUTED_VALUE"""),"應英科")</f>
        <v>應英科</v>
      </c>
      <c r="F43" s="9" t="str">
        <f>IFERROR(__xludf.DUMMYFUNCTION("""COMPUTED_VALUE"""),"二年級")</f>
        <v>二年級</v>
      </c>
      <c r="G43" s="9" t="str">
        <f>IFERROR(__xludf.DUMMYFUNCTION("""COMPUTED_VALUE"""),"獎狀")</f>
        <v>獎狀</v>
      </c>
      <c r="H43" s="9"/>
    </row>
    <row r="44">
      <c r="A44" s="13" t="s">
        <v>11</v>
      </c>
      <c r="B44" s="9" t="str">
        <f>IFERROR(__xludf.DUMMYFUNCTION("""COMPUTED_VALUE"""),"孟O箖")</f>
        <v>孟O箖</v>
      </c>
      <c r="C44" s="9" t="str">
        <f>IFERROR(__xludf.DUMMYFUNCTION("""COMPUTED_VALUE"""),"112*****cogsh.tp.edu.tw")</f>
        <v>112*****cogsh.tp.edu.tw</v>
      </c>
      <c r="D44" s="9" t="str">
        <f>IFERROR(__xludf.DUMMYFUNCTION("""COMPUTED_VALUE"""),"臺北市私立金甌女子高級中學")</f>
        <v>臺北市私立金甌女子高級中學</v>
      </c>
      <c r="E44" s="9" t="str">
        <f>IFERROR(__xludf.DUMMYFUNCTION("""COMPUTED_VALUE"""),"應英科")</f>
        <v>應英科</v>
      </c>
      <c r="F44" s="9" t="str">
        <f>IFERROR(__xludf.DUMMYFUNCTION("""COMPUTED_VALUE"""),"二年級")</f>
        <v>二年級</v>
      </c>
      <c r="G44" s="9" t="str">
        <f>IFERROR(__xludf.DUMMYFUNCTION("""COMPUTED_VALUE"""),"獎狀")</f>
        <v>獎狀</v>
      </c>
      <c r="H44" s="9"/>
    </row>
    <row r="45">
      <c r="A45" s="13" t="s">
        <v>11</v>
      </c>
      <c r="B45" s="9" t="str">
        <f>IFERROR(__xludf.DUMMYFUNCTION("""COMPUTED_VALUE"""),"陳O涵")</f>
        <v>陳O涵</v>
      </c>
      <c r="C45" s="9" t="str">
        <f>IFERROR(__xludf.DUMMYFUNCTION("""COMPUTED_VALUE"""),"112*****cogsh.tp.edu.tw")</f>
        <v>112*****cogsh.tp.edu.tw</v>
      </c>
      <c r="D45" s="9" t="str">
        <f>IFERROR(__xludf.DUMMYFUNCTION("""COMPUTED_VALUE"""),"臺北市私立金甌女子高級中學")</f>
        <v>臺北市私立金甌女子高級中學</v>
      </c>
      <c r="E45" s="9" t="str">
        <f>IFERROR(__xludf.DUMMYFUNCTION("""COMPUTED_VALUE"""),"應英科")</f>
        <v>應英科</v>
      </c>
      <c r="F45" s="9" t="str">
        <f>IFERROR(__xludf.DUMMYFUNCTION("""COMPUTED_VALUE"""),"二年級")</f>
        <v>二年級</v>
      </c>
      <c r="G45" s="9" t="str">
        <f>IFERROR(__xludf.DUMMYFUNCTION("""COMPUTED_VALUE"""),"■商品卡$200")</f>
        <v>■商品卡$200</v>
      </c>
      <c r="H45" s="9"/>
    </row>
    <row r="46">
      <c r="A46" s="13" t="s">
        <v>11</v>
      </c>
      <c r="B46" s="9" t="str">
        <f>IFERROR(__xludf.DUMMYFUNCTION("""COMPUTED_VALUE"""),"林O穎")</f>
        <v>林O穎</v>
      </c>
      <c r="C46" s="9" t="str">
        <f>IFERROR(__xludf.DUMMYFUNCTION("""COMPUTED_VALUE"""),"112*****cogsh.tp.edu.tw")</f>
        <v>112*****cogsh.tp.edu.tw</v>
      </c>
      <c r="D46" s="9" t="str">
        <f>IFERROR(__xludf.DUMMYFUNCTION("""COMPUTED_VALUE"""),"臺北市私立金甌女子高級中學")</f>
        <v>臺北市私立金甌女子高級中學</v>
      </c>
      <c r="E46" s="9" t="str">
        <f>IFERROR(__xludf.DUMMYFUNCTION("""COMPUTED_VALUE"""),"應英科")</f>
        <v>應英科</v>
      </c>
      <c r="F46" s="9" t="str">
        <f>IFERROR(__xludf.DUMMYFUNCTION("""COMPUTED_VALUE"""),"二年級")</f>
        <v>二年級</v>
      </c>
      <c r="G46" s="9" t="str">
        <f>IFERROR(__xludf.DUMMYFUNCTION("""COMPUTED_VALUE"""),"★商品卡$1000")</f>
        <v>★商品卡$1000</v>
      </c>
      <c r="H46" s="9"/>
    </row>
    <row r="47">
      <c r="A47" s="13" t="s">
        <v>11</v>
      </c>
      <c r="B47" s="9" t="str">
        <f>IFERROR(__xludf.DUMMYFUNCTION("""COMPUTED_VALUE"""),"黃O玉")</f>
        <v>黃O玉</v>
      </c>
      <c r="C47" s="9" t="str">
        <f>IFERROR(__xludf.DUMMYFUNCTION("""COMPUTED_VALUE"""),"112*****cogsh.tp.edu.tw")</f>
        <v>112*****cogsh.tp.edu.tw</v>
      </c>
      <c r="D47" s="9" t="str">
        <f>IFERROR(__xludf.DUMMYFUNCTION("""COMPUTED_VALUE"""),"臺北市私立金甌女子高級中學")</f>
        <v>臺北市私立金甌女子高級中學</v>
      </c>
      <c r="E47" s="9" t="str">
        <f>IFERROR(__xludf.DUMMYFUNCTION("""COMPUTED_VALUE"""),"應英科")</f>
        <v>應英科</v>
      </c>
      <c r="F47" s="9" t="str">
        <f>IFERROR(__xludf.DUMMYFUNCTION("""COMPUTED_VALUE"""),"二年級")</f>
        <v>二年級</v>
      </c>
      <c r="G47" s="9" t="str">
        <f>IFERROR(__xludf.DUMMYFUNCTION("""COMPUTED_VALUE"""),"獎狀")</f>
        <v>獎狀</v>
      </c>
      <c r="H47" s="9"/>
    </row>
    <row r="48">
      <c r="A48" s="13" t="s">
        <v>11</v>
      </c>
      <c r="B48" s="9" t="str">
        <f>IFERROR(__xludf.DUMMYFUNCTION("""COMPUTED_VALUE"""),"葉O寧")</f>
        <v>葉O寧</v>
      </c>
      <c r="C48" s="9" t="str">
        <f>IFERROR(__xludf.DUMMYFUNCTION("""COMPUTED_VALUE"""),"112*****cogsh.tp.edu.tw")</f>
        <v>112*****cogsh.tp.edu.tw</v>
      </c>
      <c r="D48" s="9" t="str">
        <f>IFERROR(__xludf.DUMMYFUNCTION("""COMPUTED_VALUE"""),"臺北市私立金甌女子高級中學")</f>
        <v>臺北市私立金甌女子高級中學</v>
      </c>
      <c r="E48" s="9" t="str">
        <f>IFERROR(__xludf.DUMMYFUNCTION("""COMPUTED_VALUE"""),"應英科")</f>
        <v>應英科</v>
      </c>
      <c r="F48" s="9" t="str">
        <f>IFERROR(__xludf.DUMMYFUNCTION("""COMPUTED_VALUE"""),"二年級")</f>
        <v>二年級</v>
      </c>
      <c r="G48" s="9" t="str">
        <f>IFERROR(__xludf.DUMMYFUNCTION("""COMPUTED_VALUE"""),"獎狀")</f>
        <v>獎狀</v>
      </c>
      <c r="H48" s="9"/>
    </row>
    <row r="49">
      <c r="A49" s="13" t="s">
        <v>11</v>
      </c>
      <c r="B49" s="9" t="str">
        <f>IFERROR(__xludf.DUMMYFUNCTION("""COMPUTED_VALUE"""),"蕭O伶")</f>
        <v>蕭O伶</v>
      </c>
      <c r="C49" s="9" t="str">
        <f>IFERROR(__xludf.DUMMYFUNCTION("""COMPUTED_VALUE"""),"112*****cogsh.tp.edu.tw")</f>
        <v>112*****cogsh.tp.edu.tw</v>
      </c>
      <c r="D49" s="9" t="str">
        <f>IFERROR(__xludf.DUMMYFUNCTION("""COMPUTED_VALUE"""),"臺北市私立金甌女子高級中學")</f>
        <v>臺北市私立金甌女子高級中學</v>
      </c>
      <c r="E49" s="9" t="str">
        <f>IFERROR(__xludf.DUMMYFUNCTION("""COMPUTED_VALUE"""),"應英科")</f>
        <v>應英科</v>
      </c>
      <c r="F49" s="9" t="str">
        <f>IFERROR(__xludf.DUMMYFUNCTION("""COMPUTED_VALUE"""),"二年級")</f>
        <v>二年級</v>
      </c>
      <c r="G49" s="9" t="str">
        <f>IFERROR(__xludf.DUMMYFUNCTION("""COMPUTED_VALUE"""),"獎狀")</f>
        <v>獎狀</v>
      </c>
      <c r="H49" s="9"/>
    </row>
    <row r="50">
      <c r="A50" s="13" t="s">
        <v>11</v>
      </c>
      <c r="B50" s="9" t="str">
        <f>IFERROR(__xludf.DUMMYFUNCTION("""COMPUTED_VALUE"""),"林O岑")</f>
        <v>林O岑</v>
      </c>
      <c r="C50" s="9" t="str">
        <f>IFERROR(__xludf.DUMMYFUNCTION("""COMPUTED_VALUE"""),"112*****cogsh.tp.edu.tw")</f>
        <v>112*****cogsh.tp.edu.tw</v>
      </c>
      <c r="D50" s="9" t="str">
        <f>IFERROR(__xludf.DUMMYFUNCTION("""COMPUTED_VALUE"""),"臺北市私立金甌女子高級中學")</f>
        <v>臺北市私立金甌女子高級中學</v>
      </c>
      <c r="E50" s="9" t="str">
        <f>IFERROR(__xludf.DUMMYFUNCTION("""COMPUTED_VALUE"""),"應英科")</f>
        <v>應英科</v>
      </c>
      <c r="F50" s="9" t="str">
        <f>IFERROR(__xludf.DUMMYFUNCTION("""COMPUTED_VALUE"""),"二年級")</f>
        <v>二年級</v>
      </c>
      <c r="G50" s="9" t="str">
        <f>IFERROR(__xludf.DUMMYFUNCTION("""COMPUTED_VALUE"""),"獎狀")</f>
        <v>獎狀</v>
      </c>
      <c r="H50" s="9"/>
    </row>
    <row r="51">
      <c r="A51" s="13" t="s">
        <v>11</v>
      </c>
      <c r="B51" s="9" t="str">
        <f>IFERROR(__xludf.DUMMYFUNCTION("""COMPUTED_VALUE"""),"林O彤")</f>
        <v>林O彤</v>
      </c>
      <c r="C51" s="9" t="str">
        <f>IFERROR(__xludf.DUMMYFUNCTION("""COMPUTED_VALUE"""),"112*****cogsh.tp.edu.tw")</f>
        <v>112*****cogsh.tp.edu.tw</v>
      </c>
      <c r="D51" s="9" t="str">
        <f>IFERROR(__xludf.DUMMYFUNCTION("""COMPUTED_VALUE"""),"臺北市私立金甌女子高級中學")</f>
        <v>臺北市私立金甌女子高級中學</v>
      </c>
      <c r="E51" s="9" t="str">
        <f>IFERROR(__xludf.DUMMYFUNCTION("""COMPUTED_VALUE"""),"應英科")</f>
        <v>應英科</v>
      </c>
      <c r="F51" s="9" t="str">
        <f>IFERROR(__xludf.DUMMYFUNCTION("""COMPUTED_VALUE"""),"二年級")</f>
        <v>二年級</v>
      </c>
      <c r="G51" s="9" t="str">
        <f>IFERROR(__xludf.DUMMYFUNCTION("""COMPUTED_VALUE"""),"獎狀")</f>
        <v>獎狀</v>
      </c>
      <c r="H51" s="9"/>
    </row>
    <row r="52">
      <c r="A52" s="13" t="s">
        <v>11</v>
      </c>
      <c r="B52" s="9" t="str">
        <f>IFERROR(__xludf.DUMMYFUNCTION("""COMPUTED_VALUE"""),"陳O淇")</f>
        <v>陳O淇</v>
      </c>
      <c r="C52" s="9" t="str">
        <f>IFERROR(__xludf.DUMMYFUNCTION("""COMPUTED_VALUE"""),"112*****cogsh.tp.edu.tw")</f>
        <v>112*****cogsh.tp.edu.tw</v>
      </c>
      <c r="D52" s="9" t="str">
        <f>IFERROR(__xludf.DUMMYFUNCTION("""COMPUTED_VALUE"""),"臺北市私立金甌女子高級中學")</f>
        <v>臺北市私立金甌女子高級中學</v>
      </c>
      <c r="E52" s="9" t="str">
        <f>IFERROR(__xludf.DUMMYFUNCTION("""COMPUTED_VALUE"""),"應英科")</f>
        <v>應英科</v>
      </c>
      <c r="F52" s="9" t="str">
        <f>IFERROR(__xludf.DUMMYFUNCTION("""COMPUTED_VALUE"""),"二年級")</f>
        <v>二年級</v>
      </c>
      <c r="G52" s="9" t="str">
        <f>IFERROR(__xludf.DUMMYFUNCTION("""COMPUTED_VALUE"""),"獎狀")</f>
        <v>獎狀</v>
      </c>
      <c r="H52" s="9"/>
    </row>
    <row r="53">
      <c r="A53" s="13" t="s">
        <v>11</v>
      </c>
      <c r="B53" s="9" t="str">
        <f>IFERROR(__xludf.DUMMYFUNCTION("""COMPUTED_VALUE"""),"王O媗")</f>
        <v>王O媗</v>
      </c>
      <c r="C53" s="9" t="str">
        <f>IFERROR(__xludf.DUMMYFUNCTION("""COMPUTED_VALUE"""),"112*****cogsh.tp.edu.tw")</f>
        <v>112*****cogsh.tp.edu.tw</v>
      </c>
      <c r="D53" s="9" t="str">
        <f>IFERROR(__xludf.DUMMYFUNCTION("""COMPUTED_VALUE"""),"臺北市私立金甌女子高級中學")</f>
        <v>臺北市私立金甌女子高級中學</v>
      </c>
      <c r="E53" s="9" t="str">
        <f>IFERROR(__xludf.DUMMYFUNCTION("""COMPUTED_VALUE"""),"應英科")</f>
        <v>應英科</v>
      </c>
      <c r="F53" s="9" t="str">
        <f>IFERROR(__xludf.DUMMYFUNCTION("""COMPUTED_VALUE"""),"二年級")</f>
        <v>二年級</v>
      </c>
      <c r="G53" s="9" t="str">
        <f>IFERROR(__xludf.DUMMYFUNCTION("""COMPUTED_VALUE"""),"■商品卡$200")</f>
        <v>■商品卡$200</v>
      </c>
      <c r="H53" s="9"/>
    </row>
    <row r="54">
      <c r="A54" s="13" t="s">
        <v>11</v>
      </c>
      <c r="B54" s="9" t="str">
        <f>IFERROR(__xludf.DUMMYFUNCTION("""COMPUTED_VALUE"""),"潘O叡")</f>
        <v>潘O叡</v>
      </c>
      <c r="C54" s="9" t="str">
        <f>IFERROR(__xludf.DUMMYFUNCTION("""COMPUTED_VALUE"""),"112*****cogsh.tp.edu.tw")</f>
        <v>112*****cogsh.tp.edu.tw</v>
      </c>
      <c r="D54" s="9" t="str">
        <f>IFERROR(__xludf.DUMMYFUNCTION("""COMPUTED_VALUE"""),"臺北市私立金甌女子高級中學")</f>
        <v>臺北市私立金甌女子高級中學</v>
      </c>
      <c r="E54" s="9" t="str">
        <f>IFERROR(__xludf.DUMMYFUNCTION("""COMPUTED_VALUE"""),"應英科")</f>
        <v>應英科</v>
      </c>
      <c r="F54" s="9" t="str">
        <f>IFERROR(__xludf.DUMMYFUNCTION("""COMPUTED_VALUE"""),"二年級")</f>
        <v>二年級</v>
      </c>
      <c r="G54" s="9" t="str">
        <f>IFERROR(__xludf.DUMMYFUNCTION("""COMPUTED_VALUE"""),"獎狀")</f>
        <v>獎狀</v>
      </c>
      <c r="H54" s="9"/>
    </row>
    <row r="55">
      <c r="A55" s="13" t="s">
        <v>11</v>
      </c>
      <c r="B55" s="9" t="str">
        <f>IFERROR(__xludf.DUMMYFUNCTION("""COMPUTED_VALUE"""),"吳O謙")</f>
        <v>吳O謙</v>
      </c>
      <c r="C55" s="9" t="str">
        <f>IFERROR(__xludf.DUMMYFUNCTION("""COMPUTED_VALUE"""),"112*****cogsh.tp.edu.tw")</f>
        <v>112*****cogsh.tp.edu.tw</v>
      </c>
      <c r="D55" s="9" t="str">
        <f>IFERROR(__xludf.DUMMYFUNCTION("""COMPUTED_VALUE"""),"臺北市私立金甌女子高級中學")</f>
        <v>臺北市私立金甌女子高級中學</v>
      </c>
      <c r="E55" s="9" t="str">
        <f>IFERROR(__xludf.DUMMYFUNCTION("""COMPUTED_VALUE"""),"應英科")</f>
        <v>應英科</v>
      </c>
      <c r="F55" s="9" t="str">
        <f>IFERROR(__xludf.DUMMYFUNCTION("""COMPUTED_VALUE"""),"二年級")</f>
        <v>二年級</v>
      </c>
      <c r="G55" s="9" t="str">
        <f>IFERROR(__xludf.DUMMYFUNCTION("""COMPUTED_VALUE"""),"■商品卡$200")</f>
        <v>■商品卡$200</v>
      </c>
      <c r="H55" s="9"/>
    </row>
    <row r="56">
      <c r="A56" s="13" t="s">
        <v>11</v>
      </c>
      <c r="B56" s="9" t="str">
        <f>IFERROR(__xludf.DUMMYFUNCTION("""COMPUTED_VALUE"""),"顏O晴")</f>
        <v>顏O晴</v>
      </c>
      <c r="C56" s="9" t="str">
        <f>IFERROR(__xludf.DUMMYFUNCTION("""COMPUTED_VALUE"""),"112*****cogsh.tp.edu.tw")</f>
        <v>112*****cogsh.tp.edu.tw</v>
      </c>
      <c r="D56" s="9" t="str">
        <f>IFERROR(__xludf.DUMMYFUNCTION("""COMPUTED_VALUE"""),"臺北市私立金甌女子高級中學")</f>
        <v>臺北市私立金甌女子高級中學</v>
      </c>
      <c r="E56" s="9" t="str">
        <f>IFERROR(__xludf.DUMMYFUNCTION("""COMPUTED_VALUE"""),"應英科")</f>
        <v>應英科</v>
      </c>
      <c r="F56" s="9" t="str">
        <f>IFERROR(__xludf.DUMMYFUNCTION("""COMPUTED_VALUE"""),"二年級")</f>
        <v>二年級</v>
      </c>
      <c r="G56" s="9" t="str">
        <f>IFERROR(__xludf.DUMMYFUNCTION("""COMPUTED_VALUE"""),"獎狀")</f>
        <v>獎狀</v>
      </c>
      <c r="H56" s="9"/>
    </row>
    <row r="57">
      <c r="A57" s="13" t="s">
        <v>11</v>
      </c>
      <c r="B57" s="9" t="str">
        <f>IFERROR(__xludf.DUMMYFUNCTION("""COMPUTED_VALUE"""),"李O琳")</f>
        <v>李O琳</v>
      </c>
      <c r="C57" s="9" t="str">
        <f>IFERROR(__xludf.DUMMYFUNCTION("""COMPUTED_VALUE"""),"112*****cogsh.tp.edu.tw")</f>
        <v>112*****cogsh.tp.edu.tw</v>
      </c>
      <c r="D57" s="9" t="str">
        <f>IFERROR(__xludf.DUMMYFUNCTION("""COMPUTED_VALUE"""),"臺北市私立金甌女子高級中學")</f>
        <v>臺北市私立金甌女子高級中學</v>
      </c>
      <c r="E57" s="9" t="str">
        <f>IFERROR(__xludf.DUMMYFUNCTION("""COMPUTED_VALUE"""),"應英科")</f>
        <v>應英科</v>
      </c>
      <c r="F57" s="9" t="str">
        <f>IFERROR(__xludf.DUMMYFUNCTION("""COMPUTED_VALUE"""),"二年級")</f>
        <v>二年級</v>
      </c>
      <c r="G57" s="9" t="str">
        <f>IFERROR(__xludf.DUMMYFUNCTION("""COMPUTED_VALUE"""),"獎狀")</f>
        <v>獎狀</v>
      </c>
      <c r="H57" s="9"/>
    </row>
    <row r="58">
      <c r="A58" s="13" t="s">
        <v>11</v>
      </c>
      <c r="B58" s="9" t="str">
        <f>IFERROR(__xludf.DUMMYFUNCTION("""COMPUTED_VALUE"""),"魏O軒")</f>
        <v>魏O軒</v>
      </c>
      <c r="C58" s="9" t="str">
        <f>IFERROR(__xludf.DUMMYFUNCTION("""COMPUTED_VALUE"""),"112*****cogsh.tp.edu.tw")</f>
        <v>112*****cogsh.tp.edu.tw</v>
      </c>
      <c r="D58" s="9" t="str">
        <f>IFERROR(__xludf.DUMMYFUNCTION("""COMPUTED_VALUE"""),"臺北市私立金甌女子高級中學")</f>
        <v>臺北市私立金甌女子高級中學</v>
      </c>
      <c r="E58" s="9" t="str">
        <f>IFERROR(__xludf.DUMMYFUNCTION("""COMPUTED_VALUE"""),"應英科")</f>
        <v>應英科</v>
      </c>
      <c r="F58" s="9" t="str">
        <f>IFERROR(__xludf.DUMMYFUNCTION("""COMPUTED_VALUE"""),"二年級")</f>
        <v>二年級</v>
      </c>
      <c r="G58" s="9" t="str">
        <f>IFERROR(__xludf.DUMMYFUNCTION("""COMPUTED_VALUE"""),"獎狀")</f>
        <v>獎狀</v>
      </c>
      <c r="H58" s="9"/>
    </row>
    <row r="59">
      <c r="A59" s="13" t="s">
        <v>11</v>
      </c>
      <c r="B59" s="9" t="str">
        <f>IFERROR(__xludf.DUMMYFUNCTION("""COMPUTED_VALUE"""),"田O瑄")</f>
        <v>田O瑄</v>
      </c>
      <c r="C59" s="9" t="str">
        <f>IFERROR(__xludf.DUMMYFUNCTION("""COMPUTED_VALUE"""),"112*****cogsh.tp.edu.tw")</f>
        <v>112*****cogsh.tp.edu.tw</v>
      </c>
      <c r="D59" s="9" t="str">
        <f>IFERROR(__xludf.DUMMYFUNCTION("""COMPUTED_VALUE"""),"臺北市私立金甌女子高級中學")</f>
        <v>臺北市私立金甌女子高級中學</v>
      </c>
      <c r="E59" s="9" t="str">
        <f>IFERROR(__xludf.DUMMYFUNCTION("""COMPUTED_VALUE"""),"應英科")</f>
        <v>應英科</v>
      </c>
      <c r="F59" s="9" t="str">
        <f>IFERROR(__xludf.DUMMYFUNCTION("""COMPUTED_VALUE"""),"二年級")</f>
        <v>二年級</v>
      </c>
      <c r="G59" s="9" t="str">
        <f>IFERROR(__xludf.DUMMYFUNCTION("""COMPUTED_VALUE"""),"獎狀")</f>
        <v>獎狀</v>
      </c>
      <c r="H59" s="9"/>
    </row>
    <row r="60">
      <c r="A60" s="13" t="s">
        <v>11</v>
      </c>
      <c r="B60" s="9" t="str">
        <f>IFERROR(__xludf.DUMMYFUNCTION("""COMPUTED_VALUE"""),"鐘O芸")</f>
        <v>鐘O芸</v>
      </c>
      <c r="C60" s="9" t="str">
        <f>IFERROR(__xludf.DUMMYFUNCTION("""COMPUTED_VALUE"""),"112*****cogsh.tp.edu.tw")</f>
        <v>112*****cogsh.tp.edu.tw</v>
      </c>
      <c r="D60" s="9" t="str">
        <f>IFERROR(__xludf.DUMMYFUNCTION("""COMPUTED_VALUE"""),"臺北市私立金甌女子高級中學")</f>
        <v>臺北市私立金甌女子高級中學</v>
      </c>
      <c r="E60" s="9" t="str">
        <f>IFERROR(__xludf.DUMMYFUNCTION("""COMPUTED_VALUE"""),"應英科")</f>
        <v>應英科</v>
      </c>
      <c r="F60" s="9" t="str">
        <f>IFERROR(__xludf.DUMMYFUNCTION("""COMPUTED_VALUE"""),"二年級")</f>
        <v>二年級</v>
      </c>
      <c r="G60" s="9" t="str">
        <f>IFERROR(__xludf.DUMMYFUNCTION("""COMPUTED_VALUE"""),"獎狀")</f>
        <v>獎狀</v>
      </c>
      <c r="H60" s="9"/>
    </row>
    <row r="61">
      <c r="A61" s="13" t="s">
        <v>11</v>
      </c>
      <c r="B61" s="9" t="str">
        <f>IFERROR(__xludf.DUMMYFUNCTION("""COMPUTED_VALUE"""),"張O文")</f>
        <v>張O文</v>
      </c>
      <c r="C61" s="9" t="str">
        <f>IFERROR(__xludf.DUMMYFUNCTION("""COMPUTED_VALUE"""),"112*****cogsh.tp.edu.tw")</f>
        <v>112*****cogsh.tp.edu.tw</v>
      </c>
      <c r="D61" s="9" t="str">
        <f>IFERROR(__xludf.DUMMYFUNCTION("""COMPUTED_VALUE"""),"臺北市私立金甌女子高級中學")</f>
        <v>臺北市私立金甌女子高級中學</v>
      </c>
      <c r="E61" s="9" t="str">
        <f>IFERROR(__xludf.DUMMYFUNCTION("""COMPUTED_VALUE"""),"應英科")</f>
        <v>應英科</v>
      </c>
      <c r="F61" s="9" t="str">
        <f>IFERROR(__xludf.DUMMYFUNCTION("""COMPUTED_VALUE"""),"二年級")</f>
        <v>二年級</v>
      </c>
      <c r="G61" s="9" t="str">
        <f>IFERROR(__xludf.DUMMYFUNCTION("""COMPUTED_VALUE"""),"■商品卡$200")</f>
        <v>■商品卡$200</v>
      </c>
      <c r="H61" s="9"/>
    </row>
    <row r="62">
      <c r="A62" s="13" t="s">
        <v>11</v>
      </c>
      <c r="B62" s="9" t="str">
        <f>IFERROR(__xludf.DUMMYFUNCTION("""COMPUTED_VALUE"""),"張O玟")</f>
        <v>張O玟</v>
      </c>
      <c r="C62" s="9" t="str">
        <f>IFERROR(__xludf.DUMMYFUNCTION("""COMPUTED_VALUE"""),"112*****cogsh.tp.edu.tw")</f>
        <v>112*****cogsh.tp.edu.tw</v>
      </c>
      <c r="D62" s="9" t="str">
        <f>IFERROR(__xludf.DUMMYFUNCTION("""COMPUTED_VALUE"""),"臺北市私立金甌女子高級中學")</f>
        <v>臺北市私立金甌女子高級中學</v>
      </c>
      <c r="E62" s="9" t="str">
        <f>IFERROR(__xludf.DUMMYFUNCTION("""COMPUTED_VALUE"""),"應英科")</f>
        <v>應英科</v>
      </c>
      <c r="F62" s="9" t="str">
        <f>IFERROR(__xludf.DUMMYFUNCTION("""COMPUTED_VALUE"""),"二年級")</f>
        <v>二年級</v>
      </c>
      <c r="G62" s="9" t="str">
        <f>IFERROR(__xludf.DUMMYFUNCTION("""COMPUTED_VALUE"""),"獎狀")</f>
        <v>獎狀</v>
      </c>
      <c r="H62" s="9"/>
    </row>
    <row r="63">
      <c r="A63" s="13" t="s">
        <v>11</v>
      </c>
      <c r="B63" s="9" t="str">
        <f>IFERROR(__xludf.DUMMYFUNCTION("""COMPUTED_VALUE"""),"韓O筠")</f>
        <v>韓O筠</v>
      </c>
      <c r="C63" s="9" t="str">
        <f>IFERROR(__xludf.DUMMYFUNCTION("""COMPUTED_VALUE"""),"112*****cogsh.tp.edu.tw")</f>
        <v>112*****cogsh.tp.edu.tw</v>
      </c>
      <c r="D63" s="9" t="str">
        <f>IFERROR(__xludf.DUMMYFUNCTION("""COMPUTED_VALUE"""),"臺北市私立金甌女子高級中學")</f>
        <v>臺北市私立金甌女子高級中學</v>
      </c>
      <c r="E63" s="9" t="str">
        <f>IFERROR(__xludf.DUMMYFUNCTION("""COMPUTED_VALUE"""),"應英科")</f>
        <v>應英科</v>
      </c>
      <c r="F63" s="9" t="str">
        <f>IFERROR(__xludf.DUMMYFUNCTION("""COMPUTED_VALUE"""),"二年級")</f>
        <v>二年級</v>
      </c>
      <c r="G63" s="9" t="str">
        <f>IFERROR(__xludf.DUMMYFUNCTION("""COMPUTED_VALUE"""),"★商品卡$1000")</f>
        <v>★商品卡$1000</v>
      </c>
      <c r="H63" s="9"/>
    </row>
    <row r="64">
      <c r="A64" s="13" t="s">
        <v>11</v>
      </c>
      <c r="B64" s="9" t="str">
        <f>IFERROR(__xludf.DUMMYFUNCTION("""COMPUTED_VALUE"""),"陳O婷")</f>
        <v>陳O婷</v>
      </c>
      <c r="C64" s="9" t="str">
        <f>IFERROR(__xludf.DUMMYFUNCTION("""COMPUTED_VALUE"""),"112*****cogsh.tp.edu.tw")</f>
        <v>112*****cogsh.tp.edu.tw</v>
      </c>
      <c r="D64" s="9" t="str">
        <f>IFERROR(__xludf.DUMMYFUNCTION("""COMPUTED_VALUE"""),"臺北市私立金甌女子高級中學")</f>
        <v>臺北市私立金甌女子高級中學</v>
      </c>
      <c r="E64" s="9" t="str">
        <f>IFERROR(__xludf.DUMMYFUNCTION("""COMPUTED_VALUE"""),"應英科")</f>
        <v>應英科</v>
      </c>
      <c r="F64" s="9" t="str">
        <f>IFERROR(__xludf.DUMMYFUNCTION("""COMPUTED_VALUE"""),"二年級")</f>
        <v>二年級</v>
      </c>
      <c r="G64" s="9" t="str">
        <f>IFERROR(__xludf.DUMMYFUNCTION("""COMPUTED_VALUE"""),"○商品卡$500")</f>
        <v>○商品卡$500</v>
      </c>
      <c r="H64" s="9"/>
    </row>
    <row r="65">
      <c r="A65" s="13" t="s">
        <v>11</v>
      </c>
      <c r="B65" s="9" t="str">
        <f>IFERROR(__xludf.DUMMYFUNCTION("""COMPUTED_VALUE"""),"張O涵")</f>
        <v>張O涵</v>
      </c>
      <c r="C65" s="9" t="str">
        <f>IFERROR(__xludf.DUMMYFUNCTION("""COMPUTED_VALUE"""),"112*****cogsh.tp.edu.tw")</f>
        <v>112*****cogsh.tp.edu.tw</v>
      </c>
      <c r="D65" s="9" t="str">
        <f>IFERROR(__xludf.DUMMYFUNCTION("""COMPUTED_VALUE"""),"臺北市私立金甌女子高級中學")</f>
        <v>臺北市私立金甌女子高級中學</v>
      </c>
      <c r="E65" s="9" t="str">
        <f>IFERROR(__xludf.DUMMYFUNCTION("""COMPUTED_VALUE"""),"應英科")</f>
        <v>應英科</v>
      </c>
      <c r="F65" s="9" t="str">
        <f>IFERROR(__xludf.DUMMYFUNCTION("""COMPUTED_VALUE"""),"二年級")</f>
        <v>二年級</v>
      </c>
      <c r="G65" s="9" t="str">
        <f>IFERROR(__xludf.DUMMYFUNCTION("""COMPUTED_VALUE"""),"獎狀")</f>
        <v>獎狀</v>
      </c>
      <c r="H65" s="9"/>
    </row>
    <row r="66">
      <c r="A66" s="13" t="s">
        <v>11</v>
      </c>
      <c r="B66" s="9" t="str">
        <f>IFERROR(__xludf.DUMMYFUNCTION("""COMPUTED_VALUE"""),"傅O彤")</f>
        <v>傅O彤</v>
      </c>
      <c r="C66" s="9" t="str">
        <f>IFERROR(__xludf.DUMMYFUNCTION("""COMPUTED_VALUE"""),"112*****cogsh.tp.edu.tw")</f>
        <v>112*****cogsh.tp.edu.tw</v>
      </c>
      <c r="D66" s="9" t="str">
        <f>IFERROR(__xludf.DUMMYFUNCTION("""COMPUTED_VALUE"""),"臺北市私立金甌女子高級中學")</f>
        <v>臺北市私立金甌女子高級中學</v>
      </c>
      <c r="E66" s="9" t="str">
        <f>IFERROR(__xludf.DUMMYFUNCTION("""COMPUTED_VALUE"""),"應英科")</f>
        <v>應英科</v>
      </c>
      <c r="F66" s="9" t="str">
        <f>IFERROR(__xludf.DUMMYFUNCTION("""COMPUTED_VALUE"""),"二年級")</f>
        <v>二年級</v>
      </c>
      <c r="G66" s="9" t="str">
        <f>IFERROR(__xludf.DUMMYFUNCTION("""COMPUTED_VALUE"""),"★商品卡$1000")</f>
        <v>★商品卡$1000</v>
      </c>
      <c r="H66" s="9"/>
    </row>
    <row r="67">
      <c r="A67" s="13" t="s">
        <v>11</v>
      </c>
      <c r="B67" s="9" t="str">
        <f>IFERROR(__xludf.DUMMYFUNCTION("""COMPUTED_VALUE"""),"湯O涵")</f>
        <v>湯O涵</v>
      </c>
      <c r="C67" s="9" t="str">
        <f>IFERROR(__xludf.DUMMYFUNCTION("""COMPUTED_VALUE"""),"han*****107@gmail.com")</f>
        <v>han*****107@gmail.com</v>
      </c>
      <c r="D67" s="9" t="str">
        <f>IFERROR(__xludf.DUMMYFUNCTION("""COMPUTED_VALUE"""),"臺北市立大安高級工業職業學校")</f>
        <v>臺北市立大安高級工業職業學校</v>
      </c>
      <c r="E67" s="9" t="str">
        <f>IFERROR(__xludf.DUMMYFUNCTION("""COMPUTED_VALUE"""),"冷凍空調科")</f>
        <v>冷凍空調科</v>
      </c>
      <c r="F67" s="9" t="str">
        <f>IFERROR(__xludf.DUMMYFUNCTION("""COMPUTED_VALUE"""),"一年級")</f>
        <v>一年級</v>
      </c>
      <c r="G67" s="9" t="str">
        <f>IFERROR(__xludf.DUMMYFUNCTION("""COMPUTED_VALUE"""),"獎狀")</f>
        <v>獎狀</v>
      </c>
      <c r="H67" s="11"/>
    </row>
    <row r="68">
      <c r="A68" s="13" t="s">
        <v>11</v>
      </c>
      <c r="B68" s="9" t="str">
        <f>IFERROR(__xludf.DUMMYFUNCTION("""COMPUTED_VALUE"""),"張O邁")</f>
        <v>張O邁</v>
      </c>
      <c r="C68" s="9" t="str">
        <f>IFERROR(__xludf.DUMMYFUNCTION("""COMPUTED_VALUE"""),"cha*****le8@gmail.com")</f>
        <v>cha*****le8@gmail.com</v>
      </c>
      <c r="D68" s="9" t="str">
        <f>IFERROR(__xludf.DUMMYFUNCTION("""COMPUTED_VALUE"""),"臺北市立大安高級工業職業學校")</f>
        <v>臺北市立大安高級工業職業學校</v>
      </c>
      <c r="E68" s="9" t="str">
        <f>IFERROR(__xludf.DUMMYFUNCTION("""COMPUTED_VALUE"""),"圖傳科")</f>
        <v>圖傳科</v>
      </c>
      <c r="F68" s="9" t="str">
        <f>IFERROR(__xludf.DUMMYFUNCTION("""COMPUTED_VALUE"""),"二年級")</f>
        <v>二年級</v>
      </c>
      <c r="G68" s="9" t="str">
        <f>IFERROR(__xludf.DUMMYFUNCTION("""COMPUTED_VALUE"""),"獎狀")</f>
        <v>獎狀</v>
      </c>
      <c r="H68" s="9"/>
    </row>
    <row r="69">
      <c r="A69" s="13" t="s">
        <v>11</v>
      </c>
      <c r="B69" s="9" t="str">
        <f>IFERROR(__xludf.DUMMYFUNCTION("""COMPUTED_VALUE"""),"丁O臻")</f>
        <v>丁O臻</v>
      </c>
      <c r="C69" s="9" t="str">
        <f>IFERROR(__xludf.DUMMYFUNCTION("""COMPUTED_VALUE"""),"s20*****loud.ssvs.tp.edu.tw")</f>
        <v>s20*****loud.ssvs.tp.edu.tw</v>
      </c>
      <c r="D69" s="9" t="str">
        <f>IFERROR(__xludf.DUMMYFUNCTION("""COMPUTED_VALUE"""),"臺北市立松山高級商業家事職業學校")</f>
        <v>臺北市立松山高級商業家事職業學校</v>
      </c>
      <c r="E69" s="9" t="str">
        <f>IFERROR(__xludf.DUMMYFUNCTION("""COMPUTED_VALUE"""),"應英科")</f>
        <v>應英科</v>
      </c>
      <c r="F69" s="9" t="str">
        <f>IFERROR(__xludf.DUMMYFUNCTION("""COMPUTED_VALUE"""),"二年級")</f>
        <v>二年級</v>
      </c>
      <c r="G69" s="9" t="str">
        <f>IFERROR(__xludf.DUMMYFUNCTION("""COMPUTED_VALUE"""),"★商品卡$1000")</f>
        <v>★商品卡$1000</v>
      </c>
      <c r="H69" s="9"/>
    </row>
    <row r="70">
      <c r="A70" s="13" t="s">
        <v>11</v>
      </c>
      <c r="B70" s="9" t="str">
        <f>IFERROR(__xludf.DUMMYFUNCTION("""COMPUTED_VALUE"""),"鍾O皓")</f>
        <v>鍾O皓</v>
      </c>
      <c r="C70" s="9" t="str">
        <f>IFERROR(__xludf.DUMMYFUNCTION("""COMPUTED_VALUE"""),"ago*****021@gmail.com")</f>
        <v>ago*****021@gmail.com</v>
      </c>
      <c r="D70" s="9" t="str">
        <f>IFERROR(__xludf.DUMMYFUNCTION("""COMPUTED_VALUE"""),"臺北市立士林高級商業職業學校")</f>
        <v>臺北市立士林高級商業職業學校</v>
      </c>
      <c r="E70" s="9" t="str">
        <f>IFERROR(__xludf.DUMMYFUNCTION("""COMPUTED_VALUE"""),"資處科")</f>
        <v>資處科</v>
      </c>
      <c r="F70" s="9" t="str">
        <f>IFERROR(__xludf.DUMMYFUNCTION("""COMPUTED_VALUE"""),"二年級")</f>
        <v>二年級</v>
      </c>
      <c r="G70" s="9" t="str">
        <f>IFERROR(__xludf.DUMMYFUNCTION("""COMPUTED_VALUE"""),"獎狀")</f>
        <v>獎狀</v>
      </c>
      <c r="H70" s="9"/>
    </row>
    <row r="71">
      <c r="A71" s="13" t="s">
        <v>11</v>
      </c>
      <c r="B71" s="9" t="str">
        <f>IFERROR(__xludf.DUMMYFUNCTION("""COMPUTED_VALUE"""),"林O諼")</f>
        <v>林O諼</v>
      </c>
      <c r="C71" s="9" t="str">
        <f>IFERROR(__xludf.DUMMYFUNCTION("""COMPUTED_VALUE"""),"hsu*****715@gmail.com")</f>
        <v>hsu*****715@gmail.com</v>
      </c>
      <c r="D71" s="9" t="str">
        <f>IFERROR(__xludf.DUMMYFUNCTION("""COMPUTED_VALUE"""),"臺北市立士林高級商業職業學校")</f>
        <v>臺北市立士林高級商業職業學校</v>
      </c>
      <c r="E71" s="9" t="str">
        <f>IFERROR(__xludf.DUMMYFUNCTION("""COMPUTED_VALUE"""),"資處科")</f>
        <v>資處科</v>
      </c>
      <c r="F71" s="9" t="str">
        <f>IFERROR(__xludf.DUMMYFUNCTION("""COMPUTED_VALUE"""),"二年級")</f>
        <v>二年級</v>
      </c>
      <c r="G71" s="9" t="str">
        <f>IFERROR(__xludf.DUMMYFUNCTION("""COMPUTED_VALUE"""),"獎狀")</f>
        <v>獎狀</v>
      </c>
      <c r="H71" s="9"/>
    </row>
    <row r="72">
      <c r="A72" s="13" t="s">
        <v>11</v>
      </c>
      <c r="B72" s="9" t="str">
        <f>IFERROR(__xludf.DUMMYFUNCTION("""COMPUTED_VALUE"""),"陳O庭")</f>
        <v>陳O庭</v>
      </c>
      <c r="C72" s="9" t="str">
        <f>IFERROR(__xludf.DUMMYFUNCTION("""COMPUTED_VALUE"""),"che*****ng961108@gmail.com")</f>
        <v>che*****ng961108@gmail.com</v>
      </c>
      <c r="D72" s="9" t="str">
        <f>IFERROR(__xludf.DUMMYFUNCTION("""COMPUTED_VALUE"""),"臺北市立士林高級商業職業學校")</f>
        <v>臺北市立士林高級商業職業學校</v>
      </c>
      <c r="E72" s="9" t="str">
        <f>IFERROR(__xludf.DUMMYFUNCTION("""COMPUTED_VALUE"""),"資處科")</f>
        <v>資處科</v>
      </c>
      <c r="F72" s="9" t="str">
        <f>IFERROR(__xludf.DUMMYFUNCTION("""COMPUTED_VALUE"""),"二年級")</f>
        <v>二年級</v>
      </c>
      <c r="G72" s="9" t="str">
        <f>IFERROR(__xludf.DUMMYFUNCTION("""COMPUTED_VALUE"""),"獎狀")</f>
        <v>獎狀</v>
      </c>
      <c r="H72" s="9"/>
    </row>
    <row r="73">
      <c r="A73" s="13" t="s">
        <v>11</v>
      </c>
      <c r="B73" s="9" t="str">
        <f>IFERROR(__xludf.DUMMYFUNCTION("""COMPUTED_VALUE"""),"林O妤")</f>
        <v>林O妤</v>
      </c>
      <c r="C73" s="9" t="str">
        <f>IFERROR(__xludf.DUMMYFUNCTION("""COMPUTED_VALUE"""),"qwe*****1102@gmail.com")</f>
        <v>qwe*****1102@gmail.com</v>
      </c>
      <c r="D73" s="9" t="str">
        <f>IFERROR(__xludf.DUMMYFUNCTION("""COMPUTED_VALUE"""),"臺北市立士林高級商業職業學校")</f>
        <v>臺北市立士林高級商業職業學校</v>
      </c>
      <c r="E73" s="9" t="str">
        <f>IFERROR(__xludf.DUMMYFUNCTION("""COMPUTED_VALUE"""),"應英科")</f>
        <v>應英科</v>
      </c>
      <c r="F73" s="9" t="str">
        <f>IFERROR(__xludf.DUMMYFUNCTION("""COMPUTED_VALUE"""),"一年級")</f>
        <v>一年級</v>
      </c>
      <c r="G73" s="9" t="str">
        <f>IFERROR(__xludf.DUMMYFUNCTION("""COMPUTED_VALUE"""),"獎狀")</f>
        <v>獎狀</v>
      </c>
      <c r="H73" s="9"/>
    </row>
    <row r="74">
      <c r="A74" s="13" t="s">
        <v>11</v>
      </c>
      <c r="B74" s="9" t="str">
        <f>IFERROR(__xludf.DUMMYFUNCTION("""COMPUTED_VALUE"""),"陳O樺")</f>
        <v>陳O樺</v>
      </c>
      <c r="C74" s="9" t="str">
        <f>IFERROR(__xludf.DUMMYFUNCTION("""COMPUTED_VALUE"""),"a09*****260@gmail.com")</f>
        <v>a09*****260@gmail.com</v>
      </c>
      <c r="D74" s="9" t="str">
        <f>IFERROR(__xludf.DUMMYFUNCTION("""COMPUTED_VALUE"""),"臺北市立士林高級商業職業學校")</f>
        <v>臺北市立士林高級商業職業學校</v>
      </c>
      <c r="E74" s="9" t="str">
        <f>IFERROR(__xludf.DUMMYFUNCTION("""COMPUTED_VALUE"""),"應英科")</f>
        <v>應英科</v>
      </c>
      <c r="F74" s="9" t="str">
        <f>IFERROR(__xludf.DUMMYFUNCTION("""COMPUTED_VALUE"""),"一年級")</f>
        <v>一年級</v>
      </c>
      <c r="G74" s="9" t="str">
        <f>IFERROR(__xludf.DUMMYFUNCTION("""COMPUTED_VALUE"""),"獎狀")</f>
        <v>獎狀</v>
      </c>
      <c r="H74" s="9"/>
    </row>
    <row r="75">
      <c r="A75" s="13" t="s">
        <v>11</v>
      </c>
      <c r="B75" s="9" t="str">
        <f>IFERROR(__xludf.DUMMYFUNCTION("""COMPUTED_VALUE"""),"黃O語")</f>
        <v>黃O語</v>
      </c>
      <c r="C75" s="9" t="str">
        <f>IFERROR(__xludf.DUMMYFUNCTION("""COMPUTED_VALUE"""),"amb*****tex83@gmail.com")</f>
        <v>amb*****tex83@gmail.com</v>
      </c>
      <c r="D75" s="9" t="str">
        <f>IFERROR(__xludf.DUMMYFUNCTION("""COMPUTED_VALUE"""),"臺北市立士林高級商業職業學校")</f>
        <v>臺北市立士林高級商業職業學校</v>
      </c>
      <c r="E75" s="9" t="str">
        <f>IFERROR(__xludf.DUMMYFUNCTION("""COMPUTED_VALUE"""),"應英科")</f>
        <v>應英科</v>
      </c>
      <c r="F75" s="9" t="str">
        <f>IFERROR(__xludf.DUMMYFUNCTION("""COMPUTED_VALUE"""),"三年級")</f>
        <v>三年級</v>
      </c>
      <c r="G75" s="9" t="str">
        <f>IFERROR(__xludf.DUMMYFUNCTION("""COMPUTED_VALUE"""),"獎狀")</f>
        <v>獎狀</v>
      </c>
      <c r="H75" s="9"/>
    </row>
    <row r="76">
      <c r="A76" s="13" t="s">
        <v>11</v>
      </c>
      <c r="B76" s="9" t="str">
        <f>IFERROR(__xludf.DUMMYFUNCTION("""COMPUTED_VALUE"""),"郭O璇")</f>
        <v>郭O璇</v>
      </c>
      <c r="C76" s="9" t="str">
        <f>IFERROR(__xludf.DUMMYFUNCTION("""COMPUTED_VALUE"""),"gin*****511@gmail.com")</f>
        <v>gin*****511@gmail.com</v>
      </c>
      <c r="D76" s="9" t="str">
        <f>IFERROR(__xludf.DUMMYFUNCTION("""COMPUTED_VALUE"""),"臺北市立士林高級商業職業學校")</f>
        <v>臺北市立士林高級商業職業學校</v>
      </c>
      <c r="E76" s="9" t="str">
        <f>IFERROR(__xludf.DUMMYFUNCTION("""COMPUTED_VALUE"""),"應英科")</f>
        <v>應英科</v>
      </c>
      <c r="F76" s="9" t="str">
        <f>IFERROR(__xludf.DUMMYFUNCTION("""COMPUTED_VALUE"""),"三年級")</f>
        <v>三年級</v>
      </c>
      <c r="G76" s="9" t="str">
        <f>IFERROR(__xludf.DUMMYFUNCTION("""COMPUTED_VALUE"""),"獎狀")</f>
        <v>獎狀</v>
      </c>
      <c r="H76" s="9"/>
    </row>
    <row r="77">
      <c r="A77" s="13" t="s">
        <v>11</v>
      </c>
      <c r="B77" s="9" t="str">
        <f>IFERROR(__xludf.DUMMYFUNCTION("""COMPUTED_VALUE"""),"沈O穎")</f>
        <v>沈O穎</v>
      </c>
      <c r="C77" s="9" t="str">
        <f>IFERROR(__xludf.DUMMYFUNCTION("""COMPUTED_VALUE"""),"chr*****e.shen1115@gmail.com")</f>
        <v>chr*****e.shen1115@gmail.com</v>
      </c>
      <c r="D77" s="9" t="str">
        <f>IFERROR(__xludf.DUMMYFUNCTION("""COMPUTED_VALUE"""),"臺北市立士林高級商業職業學校")</f>
        <v>臺北市立士林高級商業職業學校</v>
      </c>
      <c r="E77" s="9" t="str">
        <f>IFERROR(__xludf.DUMMYFUNCTION("""COMPUTED_VALUE"""),"應英科")</f>
        <v>應英科</v>
      </c>
      <c r="F77" s="9" t="str">
        <f>IFERROR(__xludf.DUMMYFUNCTION("""COMPUTED_VALUE"""),"三年級")</f>
        <v>三年級</v>
      </c>
      <c r="G77" s="9" t="str">
        <f>IFERROR(__xludf.DUMMYFUNCTION("""COMPUTED_VALUE"""),"獎狀")</f>
        <v>獎狀</v>
      </c>
      <c r="H77" s="9"/>
    </row>
    <row r="78">
      <c r="A78" s="13" t="s">
        <v>11</v>
      </c>
      <c r="B78" s="9" t="str">
        <f>IFERROR(__xludf.DUMMYFUNCTION("""COMPUTED_VALUE"""),"熊O安")</f>
        <v>熊O安</v>
      </c>
      <c r="C78" s="9" t="str">
        <f>IFERROR(__xludf.DUMMYFUNCTION("""COMPUTED_VALUE"""),"hsi*****87@gmail.com")</f>
        <v>hsi*****87@gmail.com</v>
      </c>
      <c r="D78" s="9" t="str">
        <f>IFERROR(__xludf.DUMMYFUNCTION("""COMPUTED_VALUE"""),"臺北市立士林高級商業職業學校")</f>
        <v>臺北市立士林高級商業職業學校</v>
      </c>
      <c r="E78" s="9" t="str">
        <f>IFERROR(__xludf.DUMMYFUNCTION("""COMPUTED_VALUE"""),"應英科")</f>
        <v>應英科</v>
      </c>
      <c r="F78" s="9" t="str">
        <f>IFERROR(__xludf.DUMMYFUNCTION("""COMPUTED_VALUE"""),"三年級")</f>
        <v>三年級</v>
      </c>
      <c r="G78" s="9" t="str">
        <f>IFERROR(__xludf.DUMMYFUNCTION("""COMPUTED_VALUE"""),"○商品卡$500")</f>
        <v>○商品卡$500</v>
      </c>
      <c r="H78" s="9"/>
    </row>
    <row r="79">
      <c r="A79" s="13" t="s">
        <v>11</v>
      </c>
      <c r="B79" s="9" t="str">
        <f>IFERROR(__xludf.DUMMYFUNCTION("""COMPUTED_VALUE"""),"林O如")</f>
        <v>林O如</v>
      </c>
      <c r="C79" s="9" t="str">
        <f>IFERROR(__xludf.DUMMYFUNCTION("""COMPUTED_VALUE"""),"che*****n980616@gmail.com")</f>
        <v>che*****n980616@gmail.com</v>
      </c>
      <c r="D79" s="9" t="str">
        <f>IFERROR(__xludf.DUMMYFUNCTION("""COMPUTED_VALUE"""),"臺北市立士林高級商業職業學校")</f>
        <v>臺北市立士林高級商業職業學校</v>
      </c>
      <c r="E79" s="9" t="str">
        <f>IFERROR(__xludf.DUMMYFUNCTION("""COMPUTED_VALUE"""),"應英科")</f>
        <v>應英科</v>
      </c>
      <c r="F79" s="9" t="str">
        <f>IFERROR(__xludf.DUMMYFUNCTION("""COMPUTED_VALUE"""),"三年級")</f>
        <v>三年級</v>
      </c>
      <c r="G79" s="9" t="str">
        <f>IFERROR(__xludf.DUMMYFUNCTION("""COMPUTED_VALUE"""),"獎狀")</f>
        <v>獎狀</v>
      </c>
      <c r="H79" s="9"/>
    </row>
    <row r="80">
      <c r="A80" s="13" t="s">
        <v>11</v>
      </c>
      <c r="B80" s="9" t="str">
        <f>IFERROR(__xludf.DUMMYFUNCTION("""COMPUTED_VALUE"""),"游O涵")</f>
        <v>游O涵</v>
      </c>
      <c r="C80" s="9" t="str">
        <f>IFERROR(__xludf.DUMMYFUNCTION("""COMPUTED_VALUE"""),"han*****16dan@gmail.com")</f>
        <v>han*****16dan@gmail.com</v>
      </c>
      <c r="D80" s="9" t="str">
        <f>IFERROR(__xludf.DUMMYFUNCTION("""COMPUTED_VALUE"""),"臺北市立士林高級商業職業學校")</f>
        <v>臺北市立士林高級商業職業學校</v>
      </c>
      <c r="E80" s="9" t="str">
        <f>IFERROR(__xludf.DUMMYFUNCTION("""COMPUTED_VALUE"""),"應英科")</f>
        <v>應英科</v>
      </c>
      <c r="F80" s="9" t="str">
        <f>IFERROR(__xludf.DUMMYFUNCTION("""COMPUTED_VALUE"""),"三年級")</f>
        <v>三年級</v>
      </c>
      <c r="G80" s="9" t="str">
        <f>IFERROR(__xludf.DUMMYFUNCTION("""COMPUTED_VALUE"""),"■商品卡$200")</f>
        <v>■商品卡$200</v>
      </c>
      <c r="H80" s="9"/>
    </row>
    <row r="81">
      <c r="A81" s="13" t="s">
        <v>11</v>
      </c>
      <c r="B81" s="9" t="str">
        <f>IFERROR(__xludf.DUMMYFUNCTION("""COMPUTED_VALUE"""),"孫O喬")</f>
        <v>孫O喬</v>
      </c>
      <c r="C81" s="9" t="str">
        <f>IFERROR(__xludf.DUMMYFUNCTION("""COMPUTED_VALUE"""),"rub*****109@gmail.com")</f>
        <v>rub*****109@gmail.com</v>
      </c>
      <c r="D81" s="9" t="str">
        <f>IFERROR(__xludf.DUMMYFUNCTION("""COMPUTED_VALUE"""),"臺北市立士林高級商業職業學校")</f>
        <v>臺北市立士林高級商業職業學校</v>
      </c>
      <c r="E81" s="9" t="str">
        <f>IFERROR(__xludf.DUMMYFUNCTION("""COMPUTED_VALUE"""),"應英科")</f>
        <v>應英科</v>
      </c>
      <c r="F81" s="9" t="str">
        <f>IFERROR(__xludf.DUMMYFUNCTION("""COMPUTED_VALUE"""),"三年級")</f>
        <v>三年級</v>
      </c>
      <c r="G81" s="9" t="str">
        <f>IFERROR(__xludf.DUMMYFUNCTION("""COMPUTED_VALUE"""),"獎狀")</f>
        <v>獎狀</v>
      </c>
      <c r="H81" s="9"/>
    </row>
    <row r="82">
      <c r="A82" s="13" t="s">
        <v>11</v>
      </c>
      <c r="B82" s="9" t="str">
        <f>IFERROR(__xludf.DUMMYFUNCTION("""COMPUTED_VALUE"""),"藍O彤")</f>
        <v>藍O彤</v>
      </c>
      <c r="C82" s="9" t="str">
        <f>IFERROR(__xludf.DUMMYFUNCTION("""COMPUTED_VALUE"""),"alw*****ay325320@gmail.com")</f>
        <v>alw*****ay325320@gmail.com</v>
      </c>
      <c r="D82" s="9" t="str">
        <f>IFERROR(__xludf.DUMMYFUNCTION("""COMPUTED_VALUE"""),"臺北市立士林高級商業職業學校")</f>
        <v>臺北市立士林高級商業職業學校</v>
      </c>
      <c r="E82" s="9" t="str">
        <f>IFERROR(__xludf.DUMMYFUNCTION("""COMPUTED_VALUE"""),"應英科")</f>
        <v>應英科</v>
      </c>
      <c r="F82" s="9" t="str">
        <f>IFERROR(__xludf.DUMMYFUNCTION("""COMPUTED_VALUE"""),"三年級")</f>
        <v>三年級</v>
      </c>
      <c r="G82" s="9" t="str">
        <f>IFERROR(__xludf.DUMMYFUNCTION("""COMPUTED_VALUE"""),"■商品卡$200")</f>
        <v>■商品卡$200</v>
      </c>
      <c r="H82" s="9"/>
    </row>
    <row r="83">
      <c r="A83" s="13" t="s">
        <v>11</v>
      </c>
      <c r="B83" s="9" t="str">
        <f>IFERROR(__xludf.DUMMYFUNCTION("""COMPUTED_VALUE"""),"陳O覺")</f>
        <v>陳O覺</v>
      </c>
      <c r="C83" s="9" t="str">
        <f>IFERROR(__xludf.DUMMYFUNCTION("""COMPUTED_VALUE"""),"lkj*****88@gmail.com")</f>
        <v>lkj*****88@gmail.com</v>
      </c>
      <c r="D83" s="9" t="str">
        <f>IFERROR(__xludf.DUMMYFUNCTION("""COMPUTED_VALUE"""),"臺北市立士林高級商業職業學校")</f>
        <v>臺北市立士林高級商業職業學校</v>
      </c>
      <c r="E83" s="9" t="str">
        <f>IFERROR(__xludf.DUMMYFUNCTION("""COMPUTED_VALUE"""),"應英科")</f>
        <v>應英科</v>
      </c>
      <c r="F83" s="9" t="str">
        <f>IFERROR(__xludf.DUMMYFUNCTION("""COMPUTED_VALUE"""),"二年級")</f>
        <v>二年級</v>
      </c>
      <c r="G83" s="9" t="str">
        <f>IFERROR(__xludf.DUMMYFUNCTION("""COMPUTED_VALUE"""),"獎狀")</f>
        <v>獎狀</v>
      </c>
      <c r="H83" s="9"/>
    </row>
    <row r="84">
      <c r="A84" s="13" t="s">
        <v>11</v>
      </c>
      <c r="B84" s="9" t="str">
        <f>IFERROR(__xludf.DUMMYFUNCTION("""COMPUTED_VALUE"""),"顏O翎")</f>
        <v>顏O翎</v>
      </c>
      <c r="C84" s="9" t="str">
        <f>IFERROR(__xludf.DUMMYFUNCTION("""COMPUTED_VALUE"""),"mam*****41@gmail.com")</f>
        <v>mam*****41@gmail.com</v>
      </c>
      <c r="D84" s="9" t="str">
        <f>IFERROR(__xludf.DUMMYFUNCTION("""COMPUTED_VALUE"""),"臺北市立士林高級商業職業學校")</f>
        <v>臺北市立士林高級商業職業學校</v>
      </c>
      <c r="E84" s="9" t="str">
        <f>IFERROR(__xludf.DUMMYFUNCTION("""COMPUTED_VALUE"""),"應英科")</f>
        <v>應英科</v>
      </c>
      <c r="F84" s="9" t="str">
        <f>IFERROR(__xludf.DUMMYFUNCTION("""COMPUTED_VALUE"""),"二年級")</f>
        <v>二年級</v>
      </c>
      <c r="G84" s="9" t="str">
        <f>IFERROR(__xludf.DUMMYFUNCTION("""COMPUTED_VALUE"""),"獎狀")</f>
        <v>獎狀</v>
      </c>
      <c r="H84" s="9"/>
    </row>
    <row r="85">
      <c r="A85" s="13" t="s">
        <v>11</v>
      </c>
      <c r="B85" s="9" t="str">
        <f>IFERROR(__xludf.DUMMYFUNCTION("""COMPUTED_VALUE"""),"詹O錡")</f>
        <v>詹O錡</v>
      </c>
      <c r="C85" s="9" t="str">
        <f>IFERROR(__xludf.DUMMYFUNCTION("""COMPUTED_VALUE"""),"jid*****5@gmail.com")</f>
        <v>jid*****5@gmail.com</v>
      </c>
      <c r="D85" s="9" t="str">
        <f>IFERROR(__xludf.DUMMYFUNCTION("""COMPUTED_VALUE"""),"臺北市立士林高級商業職業學校")</f>
        <v>臺北市立士林高級商業職業學校</v>
      </c>
      <c r="E85" s="9" t="str">
        <f>IFERROR(__xludf.DUMMYFUNCTION("""COMPUTED_VALUE"""),"應英科")</f>
        <v>應英科</v>
      </c>
      <c r="F85" s="9" t="str">
        <f>IFERROR(__xludf.DUMMYFUNCTION("""COMPUTED_VALUE"""),"三年級")</f>
        <v>三年級</v>
      </c>
      <c r="G85" s="9" t="str">
        <f>IFERROR(__xludf.DUMMYFUNCTION("""COMPUTED_VALUE"""),"獎狀")</f>
        <v>獎狀</v>
      </c>
      <c r="H85" s="9"/>
    </row>
    <row r="86">
      <c r="A86" s="13" t="s">
        <v>11</v>
      </c>
      <c r="B86" s="9" t="str">
        <f>IFERROR(__xludf.DUMMYFUNCTION("""COMPUTED_VALUE"""),"周O萱")</f>
        <v>周O萱</v>
      </c>
      <c r="C86" s="9" t="str">
        <f>IFERROR(__xludf.DUMMYFUNCTION("""COMPUTED_VALUE"""),"sel*****0514@gmail.com")</f>
        <v>sel*****0514@gmail.com</v>
      </c>
      <c r="D86" s="9" t="str">
        <f>IFERROR(__xludf.DUMMYFUNCTION("""COMPUTED_VALUE"""),"臺北市立士林高級商業職業學校")</f>
        <v>臺北市立士林高級商業職業學校</v>
      </c>
      <c r="E86" s="9" t="str">
        <f>IFERROR(__xludf.DUMMYFUNCTION("""COMPUTED_VALUE"""),"應英科")</f>
        <v>應英科</v>
      </c>
      <c r="F86" s="9" t="str">
        <f>IFERROR(__xludf.DUMMYFUNCTION("""COMPUTED_VALUE"""),"三年級")</f>
        <v>三年級</v>
      </c>
      <c r="G86" s="9" t="str">
        <f>IFERROR(__xludf.DUMMYFUNCTION("""COMPUTED_VALUE"""),"獎狀")</f>
        <v>獎狀</v>
      </c>
      <c r="H86" s="11"/>
    </row>
    <row r="87">
      <c r="A87" s="13" t="s">
        <v>11</v>
      </c>
      <c r="B87" s="9" t="str">
        <f>IFERROR(__xludf.DUMMYFUNCTION("""COMPUTED_VALUE"""),"陳O聿")</f>
        <v>陳O聿</v>
      </c>
      <c r="C87" s="9" t="str">
        <f>IFERROR(__xludf.DUMMYFUNCTION("""COMPUTED_VALUE"""),"jul*****510@gmail.com")</f>
        <v>jul*****510@gmail.com</v>
      </c>
      <c r="D87" s="9" t="str">
        <f>IFERROR(__xludf.DUMMYFUNCTION("""COMPUTED_VALUE"""),"臺北市立士林高級商業職業學校")</f>
        <v>臺北市立士林高級商業職業學校</v>
      </c>
      <c r="E87" s="9" t="str">
        <f>IFERROR(__xludf.DUMMYFUNCTION("""COMPUTED_VALUE"""),"應英科")</f>
        <v>應英科</v>
      </c>
      <c r="F87" s="9" t="str">
        <f>IFERROR(__xludf.DUMMYFUNCTION("""COMPUTED_VALUE"""),"三年級")</f>
        <v>三年級</v>
      </c>
      <c r="G87" s="9" t="str">
        <f>IFERROR(__xludf.DUMMYFUNCTION("""COMPUTED_VALUE"""),"獎狀")</f>
        <v>獎狀</v>
      </c>
      <c r="H87" s="11"/>
    </row>
    <row r="88">
      <c r="A88" s="13" t="s">
        <v>11</v>
      </c>
      <c r="B88" s="9" t="str">
        <f>IFERROR(__xludf.DUMMYFUNCTION("""COMPUTED_VALUE"""),"江O妮")</f>
        <v>江O妮</v>
      </c>
      <c r="C88" s="9" t="str">
        <f>IFERROR(__xludf.DUMMYFUNCTION("""COMPUTED_VALUE"""),"113*****tpsh.tp.edu.tw")</f>
        <v>113*****tpsh.tp.edu.tw</v>
      </c>
      <c r="D88" s="9" t="str">
        <f>IFERROR(__xludf.DUMMYFUNCTION("""COMPUTED_VALUE"""),"臺北市私立泰北高級中學")</f>
        <v>臺北市私立泰北高級中學</v>
      </c>
      <c r="E88" s="9" t="str">
        <f>IFERROR(__xludf.DUMMYFUNCTION("""COMPUTED_VALUE"""),"日文科")</f>
        <v>日文科</v>
      </c>
      <c r="F88" s="9" t="str">
        <f>IFERROR(__xludf.DUMMYFUNCTION("""COMPUTED_VALUE"""),"一年級")</f>
        <v>一年級</v>
      </c>
      <c r="G88" s="9" t="str">
        <f>IFERROR(__xludf.DUMMYFUNCTION("""COMPUTED_VALUE"""),"○商品卡$500")</f>
        <v>○商品卡$500</v>
      </c>
      <c r="H88" s="9"/>
    </row>
    <row r="89">
      <c r="A89" s="13" t="s">
        <v>11</v>
      </c>
      <c r="B89" s="9" t="str">
        <f>IFERROR(__xludf.DUMMYFUNCTION("""COMPUTED_VALUE"""),"陳O輔")</f>
        <v>陳O輔</v>
      </c>
      <c r="C89" s="9" t="str">
        <f>IFERROR(__xludf.DUMMYFUNCTION("""COMPUTED_VALUE"""),"113*****tpsh.tp.edu.tw")</f>
        <v>113*****tpsh.tp.edu.tw</v>
      </c>
      <c r="D89" s="9" t="str">
        <f>IFERROR(__xludf.DUMMYFUNCTION("""COMPUTED_VALUE"""),"臺北市私立泰北高級中學")</f>
        <v>臺北市私立泰北高級中學</v>
      </c>
      <c r="E89" s="9" t="str">
        <f>IFERROR(__xludf.DUMMYFUNCTION("""COMPUTED_VALUE"""),"日文科")</f>
        <v>日文科</v>
      </c>
      <c r="F89" s="9" t="str">
        <f>IFERROR(__xludf.DUMMYFUNCTION("""COMPUTED_VALUE"""),"一年級")</f>
        <v>一年級</v>
      </c>
      <c r="G89" s="9" t="str">
        <f>IFERROR(__xludf.DUMMYFUNCTION("""COMPUTED_VALUE"""),"★商品卡$1000")</f>
        <v>★商品卡$1000</v>
      </c>
      <c r="H89" s="9"/>
    </row>
    <row r="90">
      <c r="A90" s="13" t="s">
        <v>11</v>
      </c>
      <c r="B90" s="9" t="str">
        <f>IFERROR(__xludf.DUMMYFUNCTION("""COMPUTED_VALUE"""),"藍O婷")</f>
        <v>藍O婷</v>
      </c>
      <c r="C90" s="9" t="str">
        <f>IFERROR(__xludf.DUMMYFUNCTION("""COMPUTED_VALUE"""),"112*****tpsh.tp.edu.tw")</f>
        <v>112*****tpsh.tp.edu.tw</v>
      </c>
      <c r="D90" s="9" t="str">
        <f>IFERROR(__xludf.DUMMYFUNCTION("""COMPUTED_VALUE"""),"臺北市私立泰北高級中學")</f>
        <v>臺北市私立泰北高級中學</v>
      </c>
      <c r="E90" s="9" t="str">
        <f>IFERROR(__xludf.DUMMYFUNCTION("""COMPUTED_VALUE"""),"日文科")</f>
        <v>日文科</v>
      </c>
      <c r="F90" s="9" t="str">
        <f>IFERROR(__xludf.DUMMYFUNCTION("""COMPUTED_VALUE"""),"二年級")</f>
        <v>二年級</v>
      </c>
      <c r="G90" s="9" t="str">
        <f>IFERROR(__xludf.DUMMYFUNCTION("""COMPUTED_VALUE"""),"獎狀")</f>
        <v>獎狀</v>
      </c>
      <c r="H90" s="9"/>
    </row>
    <row r="91">
      <c r="A91" s="13" t="s">
        <v>11</v>
      </c>
      <c r="B91" s="9" t="str">
        <f>IFERROR(__xludf.DUMMYFUNCTION("""COMPUTED_VALUE"""),"林O憓")</f>
        <v>林O憓</v>
      </c>
      <c r="C91" s="9" t="str">
        <f>IFERROR(__xludf.DUMMYFUNCTION("""COMPUTED_VALUE"""),"112*****tpsh.tp.edu.tw")</f>
        <v>112*****tpsh.tp.edu.tw</v>
      </c>
      <c r="D91" s="9" t="str">
        <f>IFERROR(__xludf.DUMMYFUNCTION("""COMPUTED_VALUE"""),"臺北市私立泰北高級中學")</f>
        <v>臺北市私立泰北高級中學</v>
      </c>
      <c r="E91" s="9" t="str">
        <f>IFERROR(__xludf.DUMMYFUNCTION("""COMPUTED_VALUE"""),"日文科")</f>
        <v>日文科</v>
      </c>
      <c r="F91" s="9" t="str">
        <f>IFERROR(__xludf.DUMMYFUNCTION("""COMPUTED_VALUE"""),"二年級")</f>
        <v>二年級</v>
      </c>
      <c r="G91" s="9" t="str">
        <f>IFERROR(__xludf.DUMMYFUNCTION("""COMPUTED_VALUE"""),"獎狀")</f>
        <v>獎狀</v>
      </c>
      <c r="H91" s="9"/>
    </row>
    <row r="92">
      <c r="A92" s="13" t="s">
        <v>11</v>
      </c>
      <c r="B92" s="9" t="str">
        <f>IFERROR(__xludf.DUMMYFUNCTION("""COMPUTED_VALUE"""),"蔡O峻")</f>
        <v>蔡O峻</v>
      </c>
      <c r="C92" s="9" t="str">
        <f>IFERROR(__xludf.DUMMYFUNCTION("""COMPUTED_VALUE"""),"cai*****2@gmail.com")</f>
        <v>cai*****2@gmail.com</v>
      </c>
      <c r="D92" s="9" t="str">
        <f>IFERROR(__xludf.DUMMYFUNCTION("""COMPUTED_VALUE"""),"臺北市私立泰北高級中學")</f>
        <v>臺北市私立泰北高級中學</v>
      </c>
      <c r="E92" s="9" t="str">
        <f>IFERROR(__xludf.DUMMYFUNCTION("""COMPUTED_VALUE"""),"日文科")</f>
        <v>日文科</v>
      </c>
      <c r="F92" s="9" t="str">
        <f>IFERROR(__xludf.DUMMYFUNCTION("""COMPUTED_VALUE"""),"二年級")</f>
        <v>二年級</v>
      </c>
      <c r="G92" s="9" t="str">
        <f>IFERROR(__xludf.DUMMYFUNCTION("""COMPUTED_VALUE"""),"○商品卡$500")</f>
        <v>○商品卡$500</v>
      </c>
      <c r="H92" s="9"/>
    </row>
    <row r="93">
      <c r="A93" s="13" t="s">
        <v>11</v>
      </c>
      <c r="B93" s="9" t="str">
        <f>IFERROR(__xludf.DUMMYFUNCTION("""COMPUTED_VALUE"""),"徐O蓨")</f>
        <v>徐O蓨</v>
      </c>
      <c r="C93" s="9" t="str">
        <f>IFERROR(__xludf.DUMMYFUNCTION("""COMPUTED_VALUE"""),"112*****tpsh.tp.edu.tw")</f>
        <v>112*****tpsh.tp.edu.tw</v>
      </c>
      <c r="D93" s="9" t="str">
        <f>IFERROR(__xludf.DUMMYFUNCTION("""COMPUTED_VALUE"""),"臺北市私立泰北高級中學")</f>
        <v>臺北市私立泰北高級中學</v>
      </c>
      <c r="E93" s="9" t="str">
        <f>IFERROR(__xludf.DUMMYFUNCTION("""COMPUTED_VALUE"""),"多媒體設計科")</f>
        <v>多媒體設計科</v>
      </c>
      <c r="F93" s="9" t="str">
        <f>IFERROR(__xludf.DUMMYFUNCTION("""COMPUTED_VALUE"""),"二年級")</f>
        <v>二年級</v>
      </c>
      <c r="G93" s="9" t="str">
        <f>IFERROR(__xludf.DUMMYFUNCTION("""COMPUTED_VALUE"""),"獎狀")</f>
        <v>獎狀</v>
      </c>
      <c r="H93" s="9"/>
    </row>
    <row r="94">
      <c r="A94" s="13" t="s">
        <v>11</v>
      </c>
      <c r="B94" s="9" t="str">
        <f>IFERROR(__xludf.DUMMYFUNCTION("""COMPUTED_VALUE"""),"陳O樺")</f>
        <v>陳O樺</v>
      </c>
      <c r="C94" s="9" t="str">
        <f>IFERROR(__xludf.DUMMYFUNCTION("""COMPUTED_VALUE"""),"112*****tpsh.tp.edu.tw")</f>
        <v>112*****tpsh.tp.edu.tw</v>
      </c>
      <c r="D94" s="9" t="str">
        <f>IFERROR(__xludf.DUMMYFUNCTION("""COMPUTED_VALUE"""),"臺北市私立泰北高級中學")</f>
        <v>臺北市私立泰北高級中學</v>
      </c>
      <c r="E94" s="9" t="str">
        <f>IFERROR(__xludf.DUMMYFUNCTION("""COMPUTED_VALUE"""),"多媒體設計科")</f>
        <v>多媒體設計科</v>
      </c>
      <c r="F94" s="9" t="str">
        <f>IFERROR(__xludf.DUMMYFUNCTION("""COMPUTED_VALUE"""),"二年級")</f>
        <v>二年級</v>
      </c>
      <c r="G94" s="9" t="str">
        <f>IFERROR(__xludf.DUMMYFUNCTION("""COMPUTED_VALUE"""),"獎狀")</f>
        <v>獎狀</v>
      </c>
      <c r="H94" s="9"/>
    </row>
    <row r="95">
      <c r="A95" s="13" t="s">
        <v>11</v>
      </c>
      <c r="B95" s="9" t="str">
        <f>IFERROR(__xludf.DUMMYFUNCTION("""COMPUTED_VALUE"""),"林O萱")</f>
        <v>林O萱</v>
      </c>
      <c r="C95" s="9" t="str">
        <f>IFERROR(__xludf.DUMMYFUNCTION("""COMPUTED_VALUE"""),"112*****tpsh.tp.edu.tw")</f>
        <v>112*****tpsh.tp.edu.tw</v>
      </c>
      <c r="D95" s="9" t="str">
        <f>IFERROR(__xludf.DUMMYFUNCTION("""COMPUTED_VALUE"""),"臺北市私立泰北高級中學")</f>
        <v>臺北市私立泰北高級中學</v>
      </c>
      <c r="E95" s="9" t="str">
        <f>IFERROR(__xludf.DUMMYFUNCTION("""COMPUTED_VALUE"""),"多媒體設計科")</f>
        <v>多媒體設計科</v>
      </c>
      <c r="F95" s="9" t="str">
        <f>IFERROR(__xludf.DUMMYFUNCTION("""COMPUTED_VALUE"""),"二年級")</f>
        <v>二年級</v>
      </c>
      <c r="G95" s="9" t="str">
        <f>IFERROR(__xludf.DUMMYFUNCTION("""COMPUTED_VALUE"""),"獎狀")</f>
        <v>獎狀</v>
      </c>
      <c r="H95" s="9"/>
    </row>
    <row r="96">
      <c r="A96" s="13" t="s">
        <v>11</v>
      </c>
      <c r="B96" s="9" t="str">
        <f>IFERROR(__xludf.DUMMYFUNCTION("""COMPUTED_VALUE"""),"林O軒")</f>
        <v>林O軒</v>
      </c>
      <c r="C96" s="9" t="str">
        <f>IFERROR(__xludf.DUMMYFUNCTION("""COMPUTED_VALUE"""),"112*****tpsh.tp.edu.tw")</f>
        <v>112*****tpsh.tp.edu.tw</v>
      </c>
      <c r="D96" s="9" t="str">
        <f>IFERROR(__xludf.DUMMYFUNCTION("""COMPUTED_VALUE"""),"臺北市私立泰北高級中學")</f>
        <v>臺北市私立泰北高級中學</v>
      </c>
      <c r="E96" s="9" t="str">
        <f>IFERROR(__xludf.DUMMYFUNCTION("""COMPUTED_VALUE"""),"多媒體設計科")</f>
        <v>多媒體設計科</v>
      </c>
      <c r="F96" s="9" t="str">
        <f>IFERROR(__xludf.DUMMYFUNCTION("""COMPUTED_VALUE"""),"二年級")</f>
        <v>二年級</v>
      </c>
      <c r="G96" s="9" t="str">
        <f>IFERROR(__xludf.DUMMYFUNCTION("""COMPUTED_VALUE"""),"獎狀")</f>
        <v>獎狀</v>
      </c>
      <c r="H96" s="9"/>
    </row>
    <row r="97">
      <c r="A97" s="13" t="s">
        <v>11</v>
      </c>
      <c r="B97" s="9" t="str">
        <f>IFERROR(__xludf.DUMMYFUNCTION("""COMPUTED_VALUE"""),"楊O臻")</f>
        <v>楊O臻</v>
      </c>
      <c r="C97" s="9" t="str">
        <f>IFERROR(__xludf.DUMMYFUNCTION("""COMPUTED_VALUE"""),"112*****tpsh.tp.edu.tw")</f>
        <v>112*****tpsh.tp.edu.tw</v>
      </c>
      <c r="D97" s="9" t="str">
        <f>IFERROR(__xludf.DUMMYFUNCTION("""COMPUTED_VALUE"""),"臺北市私立泰北高級中學")</f>
        <v>臺北市私立泰北高級中學</v>
      </c>
      <c r="E97" s="9" t="str">
        <f>IFERROR(__xludf.DUMMYFUNCTION("""COMPUTED_VALUE"""),"多媒體設計科")</f>
        <v>多媒體設計科</v>
      </c>
      <c r="F97" s="9" t="str">
        <f>IFERROR(__xludf.DUMMYFUNCTION("""COMPUTED_VALUE"""),"二年級")</f>
        <v>二年級</v>
      </c>
      <c r="G97" s="9" t="str">
        <f>IFERROR(__xludf.DUMMYFUNCTION("""COMPUTED_VALUE"""),"獎狀")</f>
        <v>獎狀</v>
      </c>
      <c r="H97" s="9"/>
    </row>
    <row r="98">
      <c r="A98" s="13" t="s">
        <v>11</v>
      </c>
      <c r="B98" s="9" t="str">
        <f>IFERROR(__xludf.DUMMYFUNCTION("""COMPUTED_VALUE"""),"潘O雯")</f>
        <v>潘O雯</v>
      </c>
      <c r="C98" s="9" t="str">
        <f>IFERROR(__xludf.DUMMYFUNCTION("""COMPUTED_VALUE"""),"112*****tpsh.tp.edu.tw")</f>
        <v>112*****tpsh.tp.edu.tw</v>
      </c>
      <c r="D98" s="9" t="str">
        <f>IFERROR(__xludf.DUMMYFUNCTION("""COMPUTED_VALUE"""),"臺北市私立泰北高級中學")</f>
        <v>臺北市私立泰北高級中學</v>
      </c>
      <c r="E98" s="9" t="str">
        <f>IFERROR(__xludf.DUMMYFUNCTION("""COMPUTED_VALUE"""),"多媒體設計科")</f>
        <v>多媒體設計科</v>
      </c>
      <c r="F98" s="9" t="str">
        <f>IFERROR(__xludf.DUMMYFUNCTION("""COMPUTED_VALUE"""),"二年級")</f>
        <v>二年級</v>
      </c>
      <c r="G98" s="9" t="str">
        <f>IFERROR(__xludf.DUMMYFUNCTION("""COMPUTED_VALUE"""),"獎狀")</f>
        <v>獎狀</v>
      </c>
      <c r="H98" s="9"/>
    </row>
    <row r="99">
      <c r="A99" s="13" t="s">
        <v>11</v>
      </c>
      <c r="B99" s="9" t="str">
        <f>IFERROR(__xludf.DUMMYFUNCTION("""COMPUTED_VALUE"""),"陳O瑜")</f>
        <v>陳O瑜</v>
      </c>
      <c r="C99" s="9" t="str">
        <f>IFERROR(__xludf.DUMMYFUNCTION("""COMPUTED_VALUE"""),"112*****tpsh.tp.edu.tw")</f>
        <v>112*****tpsh.tp.edu.tw</v>
      </c>
      <c r="D99" s="9" t="str">
        <f>IFERROR(__xludf.DUMMYFUNCTION("""COMPUTED_VALUE"""),"臺北市私立泰北高級中學")</f>
        <v>臺北市私立泰北高級中學</v>
      </c>
      <c r="E99" s="9" t="str">
        <f>IFERROR(__xludf.DUMMYFUNCTION("""COMPUTED_VALUE"""),"多媒體設計科")</f>
        <v>多媒體設計科</v>
      </c>
      <c r="F99" s="9" t="str">
        <f>IFERROR(__xludf.DUMMYFUNCTION("""COMPUTED_VALUE"""),"二年級")</f>
        <v>二年級</v>
      </c>
      <c r="G99" s="9" t="str">
        <f>IFERROR(__xludf.DUMMYFUNCTION("""COMPUTED_VALUE"""),"獎狀")</f>
        <v>獎狀</v>
      </c>
      <c r="H99" s="9"/>
    </row>
    <row r="100">
      <c r="A100" s="13" t="s">
        <v>11</v>
      </c>
      <c r="B100" s="9" t="str">
        <f>IFERROR(__xludf.DUMMYFUNCTION("""COMPUTED_VALUE"""),"江O佑")</f>
        <v>江O佑</v>
      </c>
      <c r="C100" s="9" t="str">
        <f>IFERROR(__xludf.DUMMYFUNCTION("""COMPUTED_VALUE"""),"112*****tpsh.tp.edu.tw")</f>
        <v>112*****tpsh.tp.edu.tw</v>
      </c>
      <c r="D100" s="9" t="str">
        <f>IFERROR(__xludf.DUMMYFUNCTION("""COMPUTED_VALUE"""),"臺北市私立泰北高級中學")</f>
        <v>臺北市私立泰北高級中學</v>
      </c>
      <c r="E100" s="9" t="str">
        <f>IFERROR(__xludf.DUMMYFUNCTION("""COMPUTED_VALUE"""),"多媒體設計科")</f>
        <v>多媒體設計科</v>
      </c>
      <c r="F100" s="9" t="str">
        <f>IFERROR(__xludf.DUMMYFUNCTION("""COMPUTED_VALUE"""),"二年級")</f>
        <v>二年級</v>
      </c>
      <c r="G100" s="9" t="str">
        <f>IFERROR(__xludf.DUMMYFUNCTION("""COMPUTED_VALUE"""),"獎狀")</f>
        <v>獎狀</v>
      </c>
      <c r="H100" s="9"/>
    </row>
    <row r="101">
      <c r="A101" s="13" t="s">
        <v>11</v>
      </c>
      <c r="B101" s="9" t="str">
        <f>IFERROR(__xludf.DUMMYFUNCTION("""COMPUTED_VALUE"""),"謝O庭")</f>
        <v>謝O庭</v>
      </c>
      <c r="C101" s="9" t="str">
        <f>IFERROR(__xludf.DUMMYFUNCTION("""COMPUTED_VALUE"""),"112*****tpsh.tp.edu.tw")</f>
        <v>112*****tpsh.tp.edu.tw</v>
      </c>
      <c r="D101" s="9" t="str">
        <f>IFERROR(__xludf.DUMMYFUNCTION("""COMPUTED_VALUE"""),"臺北市私立泰北高級中學")</f>
        <v>臺北市私立泰北高級中學</v>
      </c>
      <c r="E101" s="9" t="str">
        <f>IFERROR(__xludf.DUMMYFUNCTION("""COMPUTED_VALUE"""),"多媒體設計科")</f>
        <v>多媒體設計科</v>
      </c>
      <c r="F101" s="9" t="str">
        <f>IFERROR(__xludf.DUMMYFUNCTION("""COMPUTED_VALUE"""),"三年級")</f>
        <v>三年級</v>
      </c>
      <c r="G101" s="9" t="str">
        <f>IFERROR(__xludf.DUMMYFUNCTION("""COMPUTED_VALUE"""),"獎狀")</f>
        <v>獎狀</v>
      </c>
      <c r="H101" s="9"/>
    </row>
    <row r="102">
      <c r="A102" s="13" t="s">
        <v>11</v>
      </c>
      <c r="B102" s="9" t="str">
        <f>IFERROR(__xludf.DUMMYFUNCTION("""COMPUTED_VALUE"""),"林O芸")</f>
        <v>林O芸</v>
      </c>
      <c r="C102" s="9" t="str">
        <f>IFERROR(__xludf.DUMMYFUNCTION("""COMPUTED_VALUE"""),"lin*****204@gmail.com")</f>
        <v>lin*****204@gmail.com</v>
      </c>
      <c r="D102" s="9" t="str">
        <f>IFERROR(__xludf.DUMMYFUNCTION("""COMPUTED_VALUE"""),"臺北市立內湖高級工業職業學校")</f>
        <v>臺北市立內湖高級工業職業學校</v>
      </c>
      <c r="E102" s="9" t="str">
        <f>IFERROR(__xludf.DUMMYFUNCTION("""COMPUTED_VALUE"""),"應用外語科")</f>
        <v>應用外語科</v>
      </c>
      <c r="F102" s="9" t="str">
        <f>IFERROR(__xludf.DUMMYFUNCTION("""COMPUTED_VALUE"""),"三年級")</f>
        <v>三年級</v>
      </c>
      <c r="G102" s="9" t="str">
        <f>IFERROR(__xludf.DUMMYFUNCTION("""COMPUTED_VALUE"""),"獎狀")</f>
        <v>獎狀</v>
      </c>
      <c r="H102" s="9"/>
    </row>
    <row r="103">
      <c r="A103" s="13" t="s">
        <v>11</v>
      </c>
      <c r="B103" s="9" t="str">
        <f>IFERROR(__xludf.DUMMYFUNCTION("""COMPUTED_VALUE"""),"王O鴻")</f>
        <v>王O鴻</v>
      </c>
      <c r="C103" s="9" t="str">
        <f>IFERROR(__xludf.DUMMYFUNCTION("""COMPUTED_VALUE"""),"113*****@gm.nkhs.tp.edu.tw")</f>
        <v>113*****@gm.nkhs.tp.edu.tw</v>
      </c>
      <c r="D103" s="9" t="str">
        <f>IFERROR(__xludf.DUMMYFUNCTION("""COMPUTED_VALUE"""),"臺北市立南港高級中學")</f>
        <v>臺北市立南港高級中學</v>
      </c>
      <c r="E103" s="9" t="str">
        <f>IFERROR(__xludf.DUMMYFUNCTION("""COMPUTED_VALUE"""),"電子科")</f>
        <v>電子科</v>
      </c>
      <c r="F103" s="9" t="str">
        <f>IFERROR(__xludf.DUMMYFUNCTION("""COMPUTED_VALUE"""),"二年級")</f>
        <v>二年級</v>
      </c>
      <c r="G103" s="9" t="str">
        <f>IFERROR(__xludf.DUMMYFUNCTION("""COMPUTED_VALUE"""),"■商品卡$200")</f>
        <v>■商品卡$200</v>
      </c>
      <c r="H103" s="9"/>
    </row>
    <row r="104">
      <c r="A104" s="13" t="s">
        <v>11</v>
      </c>
      <c r="B104" s="9" t="str">
        <f>IFERROR(__xludf.DUMMYFUNCTION("""COMPUTED_VALUE"""),"陳O廷")</f>
        <v>陳O廷</v>
      </c>
      <c r="C104" s="9" t="str">
        <f>IFERROR(__xludf.DUMMYFUNCTION("""COMPUTED_VALUE"""),"113*****@gm.nkhs.tp.edu.tw")</f>
        <v>113*****@gm.nkhs.tp.edu.tw</v>
      </c>
      <c r="D104" s="9" t="str">
        <f>IFERROR(__xludf.DUMMYFUNCTION("""COMPUTED_VALUE"""),"臺北市立南港高級工業職業學校")</f>
        <v>臺北市立南港高級工業職業學校</v>
      </c>
      <c r="E104" s="9" t="str">
        <f>IFERROR(__xludf.DUMMYFUNCTION("""COMPUTED_VALUE"""),"一般")</f>
        <v>一般</v>
      </c>
      <c r="F104" s="9" t="str">
        <f>IFERROR(__xludf.DUMMYFUNCTION("""COMPUTED_VALUE"""),"一年級")</f>
        <v>一年級</v>
      </c>
      <c r="G104" s="9" t="str">
        <f>IFERROR(__xludf.DUMMYFUNCTION("""COMPUTED_VALUE"""),"獎狀")</f>
        <v>獎狀</v>
      </c>
      <c r="H104" s="9"/>
    </row>
    <row r="105">
      <c r="A105" s="13" t="s">
        <v>11</v>
      </c>
      <c r="B105" s="9" t="str">
        <f>IFERROR(__xludf.DUMMYFUNCTION("""COMPUTED_VALUE"""),"吳O奇")</f>
        <v>吳O奇</v>
      </c>
      <c r="C105" s="9" t="str">
        <f>IFERROR(__xludf.DUMMYFUNCTION("""COMPUTED_VALUE"""),"113*****@gm.nkhs.tp.edu.tw")</f>
        <v>113*****@gm.nkhs.tp.edu.tw</v>
      </c>
      <c r="D105" s="9" t="str">
        <f>IFERROR(__xludf.DUMMYFUNCTION("""COMPUTED_VALUE"""),"臺北市立南港高級工業職業學校")</f>
        <v>臺北市立南港高級工業職業學校</v>
      </c>
      <c r="E105" s="9" t="str">
        <f>IFERROR(__xludf.DUMMYFUNCTION("""COMPUTED_VALUE"""),"電子")</f>
        <v>電子</v>
      </c>
      <c r="F105" s="9" t="str">
        <f>IFERROR(__xludf.DUMMYFUNCTION("""COMPUTED_VALUE"""),"一年級")</f>
        <v>一年級</v>
      </c>
      <c r="G105" s="9" t="str">
        <f>IFERROR(__xludf.DUMMYFUNCTION("""COMPUTED_VALUE"""),"獎狀")</f>
        <v>獎狀</v>
      </c>
      <c r="H105" s="9"/>
    </row>
    <row r="106">
      <c r="A106" s="13" t="s">
        <v>11</v>
      </c>
      <c r="B106" s="9" t="str">
        <f>IFERROR(__xludf.DUMMYFUNCTION("""COMPUTED_VALUE"""),"方O傑")</f>
        <v>方O傑</v>
      </c>
      <c r="C106" s="9" t="str">
        <f>IFERROR(__xludf.DUMMYFUNCTION("""COMPUTED_VALUE"""),"113*****@gm.nkhs.tp.edu.tw")</f>
        <v>113*****@gm.nkhs.tp.edu.tw</v>
      </c>
      <c r="D106" s="9" t="str">
        <f>IFERROR(__xludf.DUMMYFUNCTION("""COMPUTED_VALUE"""),"臺北市立南港高級工業職業學校")</f>
        <v>臺北市立南港高級工業職業學校</v>
      </c>
      <c r="E106" s="9" t="str">
        <f>IFERROR(__xludf.DUMMYFUNCTION("""COMPUTED_VALUE"""),"電子")</f>
        <v>電子</v>
      </c>
      <c r="F106" s="9" t="str">
        <f>IFERROR(__xludf.DUMMYFUNCTION("""COMPUTED_VALUE"""),"二年級")</f>
        <v>二年級</v>
      </c>
      <c r="G106" s="9" t="str">
        <f>IFERROR(__xludf.DUMMYFUNCTION("""COMPUTED_VALUE"""),"獎狀")</f>
        <v>獎狀</v>
      </c>
      <c r="H106" s="9"/>
    </row>
    <row r="107">
      <c r="A107" s="13" t="s">
        <v>11</v>
      </c>
      <c r="B107" s="9" t="str">
        <f>IFERROR(__xludf.DUMMYFUNCTION("""COMPUTED_VALUE"""),"詹O軒")</f>
        <v>詹O軒</v>
      </c>
      <c r="C107" s="9" t="str">
        <f>IFERROR(__xludf.DUMMYFUNCTION("""COMPUTED_VALUE"""),"113*****@gm.nkhs.tp.edu.tw")</f>
        <v>113*****@gm.nkhs.tp.edu.tw</v>
      </c>
      <c r="D107" s="9" t="str">
        <f>IFERROR(__xludf.DUMMYFUNCTION("""COMPUTED_VALUE"""),"臺北市立南港高級工業職業學校")</f>
        <v>臺北市立南港高級工業職業學校</v>
      </c>
      <c r="E107" s="9" t="str">
        <f>IFERROR(__xludf.DUMMYFUNCTION("""COMPUTED_VALUE"""),"電子科")</f>
        <v>電子科</v>
      </c>
      <c r="F107" s="9" t="str">
        <f>IFERROR(__xludf.DUMMYFUNCTION("""COMPUTED_VALUE"""),"一年級")</f>
        <v>一年級</v>
      </c>
      <c r="G107" s="9" t="str">
        <f>IFERROR(__xludf.DUMMYFUNCTION("""COMPUTED_VALUE"""),"獎狀")</f>
        <v>獎狀</v>
      </c>
      <c r="H107" s="9"/>
    </row>
    <row r="108">
      <c r="A108" s="13" t="s">
        <v>11</v>
      </c>
      <c r="B108" s="9" t="str">
        <f>IFERROR(__xludf.DUMMYFUNCTION("""COMPUTED_VALUE"""),"陳O安")</f>
        <v>陳O安</v>
      </c>
      <c r="C108" s="9" t="str">
        <f>IFERROR(__xludf.DUMMYFUNCTION("""COMPUTED_VALUE"""),"113*****@gm.nkhs.tp.edu.tw")</f>
        <v>113*****@gm.nkhs.tp.edu.tw</v>
      </c>
      <c r="D108" s="9" t="str">
        <f>IFERROR(__xludf.DUMMYFUNCTION("""COMPUTED_VALUE"""),"臺北市立南港高級工業職業學校")</f>
        <v>臺北市立南港高級工業職業學校</v>
      </c>
      <c r="E108" s="9" t="str">
        <f>IFERROR(__xludf.DUMMYFUNCTION("""COMPUTED_VALUE"""),"電子科")</f>
        <v>電子科</v>
      </c>
      <c r="F108" s="9" t="str">
        <f>IFERROR(__xludf.DUMMYFUNCTION("""COMPUTED_VALUE"""),"一年級")</f>
        <v>一年級</v>
      </c>
      <c r="G108" s="9" t="str">
        <f>IFERROR(__xludf.DUMMYFUNCTION("""COMPUTED_VALUE"""),"獎狀")</f>
        <v>獎狀</v>
      </c>
      <c r="H108" s="9"/>
    </row>
    <row r="109">
      <c r="A109" s="13" t="s">
        <v>11</v>
      </c>
      <c r="B109" s="9" t="str">
        <f>IFERROR(__xludf.DUMMYFUNCTION("""COMPUTED_VALUE"""),"李O伽")</f>
        <v>李O伽</v>
      </c>
      <c r="C109" s="9" t="str">
        <f>IFERROR(__xludf.DUMMYFUNCTION("""COMPUTED_VALUE"""),"met*****726354@gmail.com")</f>
        <v>met*****726354@gmail.com</v>
      </c>
      <c r="D109" s="9" t="str">
        <f>IFERROR(__xludf.DUMMYFUNCTION("""COMPUTED_VALUE"""),"臺北市立南港高級工業職業學校")</f>
        <v>臺北市立南港高級工業職業學校</v>
      </c>
      <c r="E109" s="9" t="str">
        <f>IFERROR(__xludf.DUMMYFUNCTION("""COMPUTED_VALUE"""),"電子科")</f>
        <v>電子科</v>
      </c>
      <c r="F109" s="9" t="str">
        <f>IFERROR(__xludf.DUMMYFUNCTION("""COMPUTED_VALUE"""),"一年級")</f>
        <v>一年級</v>
      </c>
      <c r="G109" s="9" t="str">
        <f>IFERROR(__xludf.DUMMYFUNCTION("""COMPUTED_VALUE"""),"■商品卡$200")</f>
        <v>■商品卡$200</v>
      </c>
      <c r="H109" s="9"/>
    </row>
    <row r="110">
      <c r="A110" s="13" t="s">
        <v>11</v>
      </c>
      <c r="B110" s="9" t="str">
        <f>IFERROR(__xludf.DUMMYFUNCTION("""COMPUTED_VALUE"""),"羅O佑")</f>
        <v>羅O佑</v>
      </c>
      <c r="C110" s="9" t="str">
        <f>IFERROR(__xludf.DUMMYFUNCTION("""COMPUTED_VALUE"""),"113*****@gm.nkhs.tp.edu.tw")</f>
        <v>113*****@gm.nkhs.tp.edu.tw</v>
      </c>
      <c r="D110" s="9" t="str">
        <f>IFERROR(__xludf.DUMMYFUNCTION("""COMPUTED_VALUE"""),"臺北市立南港高級工業職業學校")</f>
        <v>臺北市立南港高級工業職業學校</v>
      </c>
      <c r="E110" s="9" t="str">
        <f>IFERROR(__xludf.DUMMYFUNCTION("""COMPUTED_VALUE"""),"電子科")</f>
        <v>電子科</v>
      </c>
      <c r="F110" s="9" t="str">
        <f>IFERROR(__xludf.DUMMYFUNCTION("""COMPUTED_VALUE"""),"二年級")</f>
        <v>二年級</v>
      </c>
      <c r="G110" s="9" t="str">
        <f>IFERROR(__xludf.DUMMYFUNCTION("""COMPUTED_VALUE"""),"獎狀")</f>
        <v>獎狀</v>
      </c>
      <c r="H110" s="9"/>
    </row>
    <row r="111">
      <c r="A111" s="13" t="s">
        <v>11</v>
      </c>
      <c r="B111" s="9" t="str">
        <f>IFERROR(__xludf.DUMMYFUNCTION("""COMPUTED_VALUE"""),"蕭O鈞")</f>
        <v>蕭O鈞</v>
      </c>
      <c r="C111" s="9" t="str">
        <f>IFERROR(__xludf.DUMMYFUNCTION("""COMPUTED_VALUE"""),"113*****@gm.nkhs.tp.edu.tw")</f>
        <v>113*****@gm.nkhs.tp.edu.tw</v>
      </c>
      <c r="D111" s="9" t="str">
        <f>IFERROR(__xludf.DUMMYFUNCTION("""COMPUTED_VALUE"""),"臺北市立南港高級工業職業學校")</f>
        <v>臺北市立南港高級工業職業學校</v>
      </c>
      <c r="E111" s="9" t="str">
        <f>IFERROR(__xludf.DUMMYFUNCTION("""COMPUTED_VALUE"""),"電子科")</f>
        <v>電子科</v>
      </c>
      <c r="F111" s="9" t="str">
        <f>IFERROR(__xludf.DUMMYFUNCTION("""COMPUTED_VALUE"""),"二年級")</f>
        <v>二年級</v>
      </c>
      <c r="G111" s="9" t="str">
        <f>IFERROR(__xludf.DUMMYFUNCTION("""COMPUTED_VALUE"""),"獎狀")</f>
        <v>獎狀</v>
      </c>
      <c r="H111" s="9"/>
    </row>
    <row r="112">
      <c r="A112" s="13" t="s">
        <v>11</v>
      </c>
      <c r="B112" s="9" t="str">
        <f>IFERROR(__xludf.DUMMYFUNCTION("""COMPUTED_VALUE"""),"吳O豪")</f>
        <v>吳O豪</v>
      </c>
      <c r="C112" s="9" t="str">
        <f>IFERROR(__xludf.DUMMYFUNCTION("""COMPUTED_VALUE"""),"113*****@gm.nkhs.tp.edu.tw")</f>
        <v>113*****@gm.nkhs.tp.edu.tw</v>
      </c>
      <c r="D112" s="9" t="str">
        <f>IFERROR(__xludf.DUMMYFUNCTION("""COMPUTED_VALUE"""),"臺北市立南港高級工業職業學校")</f>
        <v>臺北市立南港高級工業職業學校</v>
      </c>
      <c r="E112" s="9" t="str">
        <f>IFERROR(__xludf.DUMMYFUNCTION("""COMPUTED_VALUE"""),"電子科")</f>
        <v>電子科</v>
      </c>
      <c r="F112" s="9" t="str">
        <f>IFERROR(__xludf.DUMMYFUNCTION("""COMPUTED_VALUE"""),"二年級")</f>
        <v>二年級</v>
      </c>
      <c r="G112" s="9" t="str">
        <f>IFERROR(__xludf.DUMMYFUNCTION("""COMPUTED_VALUE"""),"★商品卡$1000")</f>
        <v>★商品卡$1000</v>
      </c>
      <c r="H112" s="9"/>
    </row>
    <row r="113">
      <c r="A113" s="13" t="s">
        <v>11</v>
      </c>
      <c r="B113" s="9" t="str">
        <f>IFERROR(__xludf.DUMMYFUNCTION("""COMPUTED_VALUE"""),"許O葳")</f>
        <v>許O葳</v>
      </c>
      <c r="C113" s="9" t="str">
        <f>IFERROR(__xludf.DUMMYFUNCTION("""COMPUTED_VALUE"""),"113*****@gm.nkhs.tp.edu.tw")</f>
        <v>113*****@gm.nkhs.tp.edu.tw</v>
      </c>
      <c r="D113" s="9" t="str">
        <f>IFERROR(__xludf.DUMMYFUNCTION("""COMPUTED_VALUE"""),"臺北市立南港高級工業職業學校")</f>
        <v>臺北市立南港高級工業職業學校</v>
      </c>
      <c r="E113" s="9" t="str">
        <f>IFERROR(__xludf.DUMMYFUNCTION("""COMPUTED_VALUE"""),"電子科")</f>
        <v>電子科</v>
      </c>
      <c r="F113" s="9" t="str">
        <f>IFERROR(__xludf.DUMMYFUNCTION("""COMPUTED_VALUE"""),"二年級")</f>
        <v>二年級</v>
      </c>
      <c r="G113" s="9" t="str">
        <f>IFERROR(__xludf.DUMMYFUNCTION("""COMPUTED_VALUE"""),"獎狀")</f>
        <v>獎狀</v>
      </c>
      <c r="H113" s="9"/>
    </row>
    <row r="114">
      <c r="A114" s="13" t="s">
        <v>11</v>
      </c>
      <c r="B114" s="9" t="str">
        <f>IFERROR(__xludf.DUMMYFUNCTION("""COMPUTED_VALUE"""),"陳O齊")</f>
        <v>陳O齊</v>
      </c>
      <c r="C114" s="9" t="str">
        <f>IFERROR(__xludf.DUMMYFUNCTION("""COMPUTED_VALUE"""),"113*****@gm.nkhs.tp.edu.tw")</f>
        <v>113*****@gm.nkhs.tp.edu.tw</v>
      </c>
      <c r="D114" s="9" t="str">
        <f>IFERROR(__xludf.DUMMYFUNCTION("""COMPUTED_VALUE"""),"臺北市立南港高級工業職業學校")</f>
        <v>臺北市立南港高級工業職業學校</v>
      </c>
      <c r="E114" s="9" t="str">
        <f>IFERROR(__xludf.DUMMYFUNCTION("""COMPUTED_VALUE"""),"電子科")</f>
        <v>電子科</v>
      </c>
      <c r="F114" s="9" t="str">
        <f>IFERROR(__xludf.DUMMYFUNCTION("""COMPUTED_VALUE"""),"二年級")</f>
        <v>二年級</v>
      </c>
      <c r="G114" s="9" t="str">
        <f>IFERROR(__xludf.DUMMYFUNCTION("""COMPUTED_VALUE"""),"獎狀")</f>
        <v>獎狀</v>
      </c>
      <c r="H114" s="9"/>
    </row>
    <row r="115">
      <c r="A115" s="13" t="s">
        <v>11</v>
      </c>
      <c r="B115" s="9" t="str">
        <f>IFERROR(__xludf.DUMMYFUNCTION("""COMPUTED_VALUE"""),"陳O璋")</f>
        <v>陳O璋</v>
      </c>
      <c r="C115" s="9" t="str">
        <f>IFERROR(__xludf.DUMMYFUNCTION("""COMPUTED_VALUE"""),"113*****@gm.nkhs.tp.edu.tw")</f>
        <v>113*****@gm.nkhs.tp.edu.tw</v>
      </c>
      <c r="D115" s="9" t="str">
        <f>IFERROR(__xludf.DUMMYFUNCTION("""COMPUTED_VALUE"""),"臺北市立南港高級工業職業學校")</f>
        <v>臺北市立南港高級工業職業學校</v>
      </c>
      <c r="E115" s="9" t="str">
        <f>IFERROR(__xludf.DUMMYFUNCTION("""COMPUTED_VALUE"""),"電子科")</f>
        <v>電子科</v>
      </c>
      <c r="F115" s="9" t="str">
        <f>IFERROR(__xludf.DUMMYFUNCTION("""COMPUTED_VALUE"""),"二年級")</f>
        <v>二年級</v>
      </c>
      <c r="G115" s="9" t="str">
        <f>IFERROR(__xludf.DUMMYFUNCTION("""COMPUTED_VALUE"""),"獎狀")</f>
        <v>獎狀</v>
      </c>
      <c r="H115" s="9"/>
    </row>
    <row r="116">
      <c r="A116" s="13" t="s">
        <v>11</v>
      </c>
      <c r="B116" s="9" t="str">
        <f>IFERROR(__xludf.DUMMYFUNCTION("""COMPUTED_VALUE"""),"陳O宥")</f>
        <v>陳O宥</v>
      </c>
      <c r="C116" s="9" t="str">
        <f>IFERROR(__xludf.DUMMYFUNCTION("""COMPUTED_VALUE"""),"113*****@gm.nkhs.tp.edu.tw")</f>
        <v>113*****@gm.nkhs.tp.edu.tw</v>
      </c>
      <c r="D116" s="9" t="str">
        <f>IFERROR(__xludf.DUMMYFUNCTION("""COMPUTED_VALUE"""),"臺北市立南港高級工業職業學校")</f>
        <v>臺北市立南港高級工業職業學校</v>
      </c>
      <c r="E116" s="9" t="str">
        <f>IFERROR(__xludf.DUMMYFUNCTION("""COMPUTED_VALUE"""),"電子科")</f>
        <v>電子科</v>
      </c>
      <c r="F116" s="9" t="str">
        <f>IFERROR(__xludf.DUMMYFUNCTION("""COMPUTED_VALUE"""),"二年級")</f>
        <v>二年級</v>
      </c>
      <c r="G116" s="9" t="str">
        <f>IFERROR(__xludf.DUMMYFUNCTION("""COMPUTED_VALUE"""),"★商品卡$1000")</f>
        <v>★商品卡$1000</v>
      </c>
      <c r="H116" s="9"/>
    </row>
    <row r="117">
      <c r="A117" s="13" t="s">
        <v>11</v>
      </c>
      <c r="B117" s="9" t="str">
        <f>IFERROR(__xludf.DUMMYFUNCTION("""COMPUTED_VALUE"""),"王O懿")</f>
        <v>王O懿</v>
      </c>
      <c r="C117" s="9" t="str">
        <f>IFERROR(__xludf.DUMMYFUNCTION("""COMPUTED_VALUE"""),"113*****@gm.nkhs.tp.edu.tw")</f>
        <v>113*****@gm.nkhs.tp.edu.tw</v>
      </c>
      <c r="D117" s="9" t="str">
        <f>IFERROR(__xludf.DUMMYFUNCTION("""COMPUTED_VALUE"""),"臺北市立南港高級工業職業學校")</f>
        <v>臺北市立南港高級工業職業學校</v>
      </c>
      <c r="E117" s="9" t="str">
        <f>IFERROR(__xludf.DUMMYFUNCTION("""COMPUTED_VALUE"""),"電子科")</f>
        <v>電子科</v>
      </c>
      <c r="F117" s="9" t="str">
        <f>IFERROR(__xludf.DUMMYFUNCTION("""COMPUTED_VALUE"""),"二年級")</f>
        <v>二年級</v>
      </c>
      <c r="G117" s="9" t="str">
        <f>IFERROR(__xludf.DUMMYFUNCTION("""COMPUTED_VALUE"""),"獎狀")</f>
        <v>獎狀</v>
      </c>
      <c r="H117" s="9"/>
    </row>
    <row r="118">
      <c r="A118" s="13" t="s">
        <v>11</v>
      </c>
      <c r="B118" s="9" t="str">
        <f>IFERROR(__xludf.DUMMYFUNCTION("""COMPUTED_VALUE"""),"林O頫")</f>
        <v>林O頫</v>
      </c>
      <c r="C118" s="9" t="str">
        <f>IFERROR(__xludf.DUMMYFUNCTION("""COMPUTED_VALUE"""),"113*****@gm.nkhs.tp.edu.tw")</f>
        <v>113*****@gm.nkhs.tp.edu.tw</v>
      </c>
      <c r="D118" s="9" t="str">
        <f>IFERROR(__xludf.DUMMYFUNCTION("""COMPUTED_VALUE"""),"臺北市立南港高級工業職業學校")</f>
        <v>臺北市立南港高級工業職業學校</v>
      </c>
      <c r="E118" s="9" t="str">
        <f>IFERROR(__xludf.DUMMYFUNCTION("""COMPUTED_VALUE"""),"電子科")</f>
        <v>電子科</v>
      </c>
      <c r="F118" s="9" t="str">
        <f>IFERROR(__xludf.DUMMYFUNCTION("""COMPUTED_VALUE"""),"二年級")</f>
        <v>二年級</v>
      </c>
      <c r="G118" s="9" t="str">
        <f>IFERROR(__xludf.DUMMYFUNCTION("""COMPUTED_VALUE"""),"獎狀")</f>
        <v>獎狀</v>
      </c>
      <c r="H118" s="9"/>
    </row>
    <row r="119">
      <c r="A119" s="13" t="s">
        <v>11</v>
      </c>
      <c r="B119" s="9" t="str">
        <f>IFERROR(__xludf.DUMMYFUNCTION("""COMPUTED_VALUE"""),"陳O銨")</f>
        <v>陳O銨</v>
      </c>
      <c r="C119" s="9" t="str">
        <f>IFERROR(__xludf.DUMMYFUNCTION("""COMPUTED_VALUE"""),"113*****@gm.nkhs.tp.edu.tw")</f>
        <v>113*****@gm.nkhs.tp.edu.tw</v>
      </c>
      <c r="D119" s="9" t="str">
        <f>IFERROR(__xludf.DUMMYFUNCTION("""COMPUTED_VALUE"""),"臺北市立南港高級工業職業學校")</f>
        <v>臺北市立南港高級工業職業學校</v>
      </c>
      <c r="E119" s="9" t="str">
        <f>IFERROR(__xludf.DUMMYFUNCTION("""COMPUTED_VALUE"""),"電子科")</f>
        <v>電子科</v>
      </c>
      <c r="F119" s="9" t="str">
        <f>IFERROR(__xludf.DUMMYFUNCTION("""COMPUTED_VALUE"""),"二年級")</f>
        <v>二年級</v>
      </c>
      <c r="G119" s="9" t="str">
        <f>IFERROR(__xludf.DUMMYFUNCTION("""COMPUTED_VALUE"""),"獎狀")</f>
        <v>獎狀</v>
      </c>
      <c r="H119" s="9"/>
    </row>
    <row r="120">
      <c r="A120" s="13" t="s">
        <v>11</v>
      </c>
      <c r="B120" s="9" t="str">
        <f>IFERROR(__xludf.DUMMYFUNCTION("""COMPUTED_VALUE"""),"謝O茹")</f>
        <v>謝O茹</v>
      </c>
      <c r="C120" s="9" t="str">
        <f>IFERROR(__xludf.DUMMYFUNCTION("""COMPUTED_VALUE"""),"113*****@gm.nkhs.tp.edu.tw")</f>
        <v>113*****@gm.nkhs.tp.edu.tw</v>
      </c>
      <c r="D120" s="9" t="str">
        <f>IFERROR(__xludf.DUMMYFUNCTION("""COMPUTED_VALUE"""),"臺北市立南港高級工業職業學校")</f>
        <v>臺北市立南港高級工業職業學校</v>
      </c>
      <c r="E120" s="9" t="str">
        <f>IFERROR(__xludf.DUMMYFUNCTION("""COMPUTED_VALUE"""),"電子科")</f>
        <v>電子科</v>
      </c>
      <c r="F120" s="9" t="str">
        <f>IFERROR(__xludf.DUMMYFUNCTION("""COMPUTED_VALUE"""),"二年級")</f>
        <v>二年級</v>
      </c>
      <c r="G120" s="9" t="str">
        <f>IFERROR(__xludf.DUMMYFUNCTION("""COMPUTED_VALUE"""),"獎狀")</f>
        <v>獎狀</v>
      </c>
      <c r="H120" s="9"/>
    </row>
    <row r="121">
      <c r="A121" s="13" t="s">
        <v>11</v>
      </c>
      <c r="B121" s="9" t="str">
        <f>IFERROR(__xludf.DUMMYFUNCTION("""COMPUTED_VALUE"""),"蔡O翔")</f>
        <v>蔡O翔</v>
      </c>
      <c r="C121" s="9" t="str">
        <f>IFERROR(__xludf.DUMMYFUNCTION("""COMPUTED_VALUE"""),"113*****@gm.nkhs.tp.edu.tw")</f>
        <v>113*****@gm.nkhs.tp.edu.tw</v>
      </c>
      <c r="D121" s="9" t="str">
        <f>IFERROR(__xludf.DUMMYFUNCTION("""COMPUTED_VALUE"""),"臺北市立南港高級工業職業學校")</f>
        <v>臺北市立南港高級工業職業學校</v>
      </c>
      <c r="E121" s="9" t="str">
        <f>IFERROR(__xludf.DUMMYFUNCTION("""COMPUTED_VALUE"""),"電子科")</f>
        <v>電子科</v>
      </c>
      <c r="F121" s="9" t="str">
        <f>IFERROR(__xludf.DUMMYFUNCTION("""COMPUTED_VALUE"""),"二年級")</f>
        <v>二年級</v>
      </c>
      <c r="G121" s="9" t="str">
        <f>IFERROR(__xludf.DUMMYFUNCTION("""COMPUTED_VALUE"""),"獎狀")</f>
        <v>獎狀</v>
      </c>
      <c r="H121" s="9"/>
    </row>
    <row r="122">
      <c r="A122" s="13" t="s">
        <v>11</v>
      </c>
      <c r="B122" s="9" t="str">
        <f>IFERROR(__xludf.DUMMYFUNCTION("""COMPUTED_VALUE"""),"林O辰")</f>
        <v>林O辰</v>
      </c>
      <c r="C122" s="9" t="str">
        <f>IFERROR(__xludf.DUMMYFUNCTION("""COMPUTED_VALUE"""),"113*****@gm.nkhs.tp.edu.tw")</f>
        <v>113*****@gm.nkhs.tp.edu.tw</v>
      </c>
      <c r="D122" s="9" t="str">
        <f>IFERROR(__xludf.DUMMYFUNCTION("""COMPUTED_VALUE"""),"臺北市立南港高級工業職業學校")</f>
        <v>臺北市立南港高級工業職業學校</v>
      </c>
      <c r="E122" s="9" t="str">
        <f>IFERROR(__xludf.DUMMYFUNCTION("""COMPUTED_VALUE"""),"電子科")</f>
        <v>電子科</v>
      </c>
      <c r="F122" s="9" t="str">
        <f>IFERROR(__xludf.DUMMYFUNCTION("""COMPUTED_VALUE"""),"二年級")</f>
        <v>二年級</v>
      </c>
      <c r="G122" s="9" t="str">
        <f>IFERROR(__xludf.DUMMYFUNCTION("""COMPUTED_VALUE"""),"獎狀")</f>
        <v>獎狀</v>
      </c>
      <c r="H122" s="9"/>
    </row>
    <row r="123">
      <c r="A123" s="13" t="s">
        <v>11</v>
      </c>
      <c r="B123" s="9" t="str">
        <f>IFERROR(__xludf.DUMMYFUNCTION("""COMPUTED_VALUE"""),"孫O程")</f>
        <v>孫O程</v>
      </c>
      <c r="C123" s="9" t="str">
        <f>IFERROR(__xludf.DUMMYFUNCTION("""COMPUTED_VALUE"""),"113*****@gm.nkhs.tp.edu.tw")</f>
        <v>113*****@gm.nkhs.tp.edu.tw</v>
      </c>
      <c r="D123" s="9" t="str">
        <f>IFERROR(__xludf.DUMMYFUNCTION("""COMPUTED_VALUE"""),"臺北市立南港高級工業職業學校")</f>
        <v>臺北市立南港高級工業職業學校</v>
      </c>
      <c r="E123" s="9" t="str">
        <f>IFERROR(__xludf.DUMMYFUNCTION("""COMPUTED_VALUE"""),"電子科")</f>
        <v>電子科</v>
      </c>
      <c r="F123" s="9" t="str">
        <f>IFERROR(__xludf.DUMMYFUNCTION("""COMPUTED_VALUE"""),"二年級")</f>
        <v>二年級</v>
      </c>
      <c r="G123" s="9" t="str">
        <f>IFERROR(__xludf.DUMMYFUNCTION("""COMPUTED_VALUE"""),"■商品卡$200")</f>
        <v>■商品卡$200</v>
      </c>
      <c r="H123" s="9"/>
    </row>
    <row r="124">
      <c r="A124" s="13" t="s">
        <v>11</v>
      </c>
      <c r="B124" s="9" t="str">
        <f>IFERROR(__xludf.DUMMYFUNCTION("""COMPUTED_VALUE"""),"林O愷")</f>
        <v>林O愷</v>
      </c>
      <c r="C124" s="9" t="str">
        <f>IFERROR(__xludf.DUMMYFUNCTION("""COMPUTED_VALUE"""),"113*****@gm.nkhs.tp.edu.tw")</f>
        <v>113*****@gm.nkhs.tp.edu.tw</v>
      </c>
      <c r="D124" s="9" t="str">
        <f>IFERROR(__xludf.DUMMYFUNCTION("""COMPUTED_VALUE"""),"臺北市立南港高級工業職業學校")</f>
        <v>臺北市立南港高級工業職業學校</v>
      </c>
      <c r="E124" s="9" t="str">
        <f>IFERROR(__xludf.DUMMYFUNCTION("""COMPUTED_VALUE"""),"電子科")</f>
        <v>電子科</v>
      </c>
      <c r="F124" s="9" t="str">
        <f>IFERROR(__xludf.DUMMYFUNCTION("""COMPUTED_VALUE"""),"二年級")</f>
        <v>二年級</v>
      </c>
      <c r="G124" s="9" t="str">
        <f>IFERROR(__xludf.DUMMYFUNCTION("""COMPUTED_VALUE"""),"○商品卡$500")</f>
        <v>○商品卡$500</v>
      </c>
      <c r="H124" s="9"/>
    </row>
    <row r="125">
      <c r="A125" s="13" t="s">
        <v>11</v>
      </c>
      <c r="B125" s="9" t="str">
        <f>IFERROR(__xludf.DUMMYFUNCTION("""COMPUTED_VALUE"""),"陳O葵")</f>
        <v>陳O葵</v>
      </c>
      <c r="C125" s="9" t="str">
        <f>IFERROR(__xludf.DUMMYFUNCTION("""COMPUTED_VALUE"""),"113*****@gm.nkhs.tp.edu.tw")</f>
        <v>113*****@gm.nkhs.tp.edu.tw</v>
      </c>
      <c r="D125" s="9" t="str">
        <f>IFERROR(__xludf.DUMMYFUNCTION("""COMPUTED_VALUE"""),"臺北市立南港高級工業職業學校")</f>
        <v>臺北市立南港高級工業職業學校</v>
      </c>
      <c r="E125" s="9" t="str">
        <f>IFERROR(__xludf.DUMMYFUNCTION("""COMPUTED_VALUE"""),"電子科")</f>
        <v>電子科</v>
      </c>
      <c r="F125" s="9" t="str">
        <f>IFERROR(__xludf.DUMMYFUNCTION("""COMPUTED_VALUE"""),"二年級")</f>
        <v>二年級</v>
      </c>
      <c r="G125" s="9" t="str">
        <f>IFERROR(__xludf.DUMMYFUNCTION("""COMPUTED_VALUE"""),"獎狀")</f>
        <v>獎狀</v>
      </c>
      <c r="H125" s="9"/>
    </row>
    <row r="126">
      <c r="A126" s="13" t="s">
        <v>11</v>
      </c>
      <c r="B126" s="9" t="str">
        <f>IFERROR(__xludf.DUMMYFUNCTION("""COMPUTED_VALUE"""),"吳O謙")</f>
        <v>吳O謙</v>
      </c>
      <c r="C126" s="9" t="str">
        <f>IFERROR(__xludf.DUMMYFUNCTION("""COMPUTED_VALUE"""),"113*****@gm.nkhs.tp.edu.tw")</f>
        <v>113*****@gm.nkhs.tp.edu.tw</v>
      </c>
      <c r="D126" s="9" t="str">
        <f>IFERROR(__xludf.DUMMYFUNCTION("""COMPUTED_VALUE"""),"臺北市立南港高級工業職業學校")</f>
        <v>臺北市立南港高級工業職業學校</v>
      </c>
      <c r="E126" s="9" t="str">
        <f>IFERROR(__xludf.DUMMYFUNCTION("""COMPUTED_VALUE"""),"電子科")</f>
        <v>電子科</v>
      </c>
      <c r="F126" s="9" t="str">
        <f>IFERROR(__xludf.DUMMYFUNCTION("""COMPUTED_VALUE"""),"二年級")</f>
        <v>二年級</v>
      </c>
      <c r="G126" s="9" t="str">
        <f>IFERROR(__xludf.DUMMYFUNCTION("""COMPUTED_VALUE"""),"獎狀")</f>
        <v>獎狀</v>
      </c>
      <c r="H126" s="9"/>
    </row>
    <row r="127">
      <c r="A127" s="13" t="s">
        <v>11</v>
      </c>
      <c r="B127" s="9" t="str">
        <f>IFERROR(__xludf.DUMMYFUNCTION("""COMPUTED_VALUE"""),"孫O翰")</f>
        <v>孫O翰</v>
      </c>
      <c r="C127" s="9" t="str">
        <f>IFERROR(__xludf.DUMMYFUNCTION("""COMPUTED_VALUE"""),"113*****@gm.nkhs.tp.edu.tw")</f>
        <v>113*****@gm.nkhs.tp.edu.tw</v>
      </c>
      <c r="D127" s="9" t="str">
        <f>IFERROR(__xludf.DUMMYFUNCTION("""COMPUTED_VALUE"""),"臺北市立南港高級工業職業學校")</f>
        <v>臺北市立南港高級工業職業學校</v>
      </c>
      <c r="E127" s="9" t="str">
        <f>IFERROR(__xludf.DUMMYFUNCTION("""COMPUTED_VALUE"""),"電子科")</f>
        <v>電子科</v>
      </c>
      <c r="F127" s="9" t="str">
        <f>IFERROR(__xludf.DUMMYFUNCTION("""COMPUTED_VALUE"""),"二年級")</f>
        <v>二年級</v>
      </c>
      <c r="G127" s="9" t="str">
        <f>IFERROR(__xludf.DUMMYFUNCTION("""COMPUTED_VALUE"""),"獎狀")</f>
        <v>獎狀</v>
      </c>
      <c r="H127" s="9"/>
    </row>
    <row r="128">
      <c r="A128" s="13" t="s">
        <v>11</v>
      </c>
      <c r="B128" s="9" t="str">
        <f>IFERROR(__xludf.DUMMYFUNCTION("""COMPUTED_VALUE"""),"葉O中")</f>
        <v>葉O中</v>
      </c>
      <c r="C128" s="9" t="str">
        <f>IFERROR(__xludf.DUMMYFUNCTION("""COMPUTED_VALUE"""),"113*****@gm.nkhs.tp.edu.tw")</f>
        <v>113*****@gm.nkhs.tp.edu.tw</v>
      </c>
      <c r="D128" s="9" t="str">
        <f>IFERROR(__xludf.DUMMYFUNCTION("""COMPUTED_VALUE"""),"臺北市立南港高級工業職業學校")</f>
        <v>臺北市立南港高級工業職業學校</v>
      </c>
      <c r="E128" s="9" t="str">
        <f>IFERROR(__xludf.DUMMYFUNCTION("""COMPUTED_VALUE"""),"電子科")</f>
        <v>電子科</v>
      </c>
      <c r="F128" s="9" t="str">
        <f>IFERROR(__xludf.DUMMYFUNCTION("""COMPUTED_VALUE"""),"二年級")</f>
        <v>二年級</v>
      </c>
      <c r="G128" s="9" t="str">
        <f>IFERROR(__xludf.DUMMYFUNCTION("""COMPUTED_VALUE"""),"獎狀")</f>
        <v>獎狀</v>
      </c>
      <c r="H128" s="9"/>
    </row>
    <row r="129">
      <c r="A129" s="13" t="s">
        <v>11</v>
      </c>
      <c r="B129" s="9" t="str">
        <f>IFERROR(__xludf.DUMMYFUNCTION("""COMPUTED_VALUE"""),"謝O亦")</f>
        <v>謝O亦</v>
      </c>
      <c r="C129" s="9" t="str">
        <f>IFERROR(__xludf.DUMMYFUNCTION("""COMPUTED_VALUE"""),"113*****@gm.nkhs.tp.edu.tw")</f>
        <v>113*****@gm.nkhs.tp.edu.tw</v>
      </c>
      <c r="D129" s="9" t="str">
        <f>IFERROR(__xludf.DUMMYFUNCTION("""COMPUTED_VALUE"""),"臺北市立南港高級工業職業學校")</f>
        <v>臺北市立南港高級工業職業學校</v>
      </c>
      <c r="E129" s="9" t="str">
        <f>IFERROR(__xludf.DUMMYFUNCTION("""COMPUTED_VALUE"""),"電子科")</f>
        <v>電子科</v>
      </c>
      <c r="F129" s="9" t="str">
        <f>IFERROR(__xludf.DUMMYFUNCTION("""COMPUTED_VALUE"""),"二年級")</f>
        <v>二年級</v>
      </c>
      <c r="G129" s="9" t="str">
        <f>IFERROR(__xludf.DUMMYFUNCTION("""COMPUTED_VALUE"""),"■商品卡$200")</f>
        <v>■商品卡$200</v>
      </c>
      <c r="H129" s="9"/>
    </row>
    <row r="130">
      <c r="A130" s="13" t="s">
        <v>11</v>
      </c>
      <c r="B130" s="9" t="str">
        <f>IFERROR(__xludf.DUMMYFUNCTION("""COMPUTED_VALUE"""),"林O依")</f>
        <v>林O依</v>
      </c>
      <c r="C130" s="9" t="str">
        <f>IFERROR(__xludf.DUMMYFUNCTION("""COMPUTED_VALUE"""),"113*****@gm.nkhs.tp.edu.tw")</f>
        <v>113*****@gm.nkhs.tp.edu.tw</v>
      </c>
      <c r="D130" s="9" t="str">
        <f>IFERROR(__xludf.DUMMYFUNCTION("""COMPUTED_VALUE"""),"臺北市立南港高級工業職業學校")</f>
        <v>臺北市立南港高級工業職業學校</v>
      </c>
      <c r="E130" s="9" t="str">
        <f>IFERROR(__xludf.DUMMYFUNCTION("""COMPUTED_VALUE"""),"電子科")</f>
        <v>電子科</v>
      </c>
      <c r="F130" s="9" t="str">
        <f>IFERROR(__xludf.DUMMYFUNCTION("""COMPUTED_VALUE"""),"二年級")</f>
        <v>二年級</v>
      </c>
      <c r="G130" s="9" t="str">
        <f>IFERROR(__xludf.DUMMYFUNCTION("""COMPUTED_VALUE"""),"獎狀")</f>
        <v>獎狀</v>
      </c>
      <c r="H130" s="9"/>
    </row>
    <row r="131">
      <c r="A131" s="13" t="s">
        <v>11</v>
      </c>
      <c r="B131" s="9" t="str">
        <f>IFERROR(__xludf.DUMMYFUNCTION("""COMPUTED_VALUE"""),"鄭O辰")</f>
        <v>鄭O辰</v>
      </c>
      <c r="C131" s="9" t="str">
        <f>IFERROR(__xludf.DUMMYFUNCTION("""COMPUTED_VALUE"""),"113*****@gm.nkhs.tp.edu.tw")</f>
        <v>113*****@gm.nkhs.tp.edu.tw</v>
      </c>
      <c r="D131" s="9" t="str">
        <f>IFERROR(__xludf.DUMMYFUNCTION("""COMPUTED_VALUE"""),"臺北市立南港高級工業職業學校")</f>
        <v>臺北市立南港高級工業職業學校</v>
      </c>
      <c r="E131" s="9" t="str">
        <f>IFERROR(__xludf.DUMMYFUNCTION("""COMPUTED_VALUE"""),"電子科")</f>
        <v>電子科</v>
      </c>
      <c r="F131" s="9" t="str">
        <f>IFERROR(__xludf.DUMMYFUNCTION("""COMPUTED_VALUE"""),"二年級")</f>
        <v>二年級</v>
      </c>
      <c r="G131" s="9" t="str">
        <f>IFERROR(__xludf.DUMMYFUNCTION("""COMPUTED_VALUE"""),"獎狀")</f>
        <v>獎狀</v>
      </c>
      <c r="H131" s="9"/>
    </row>
    <row r="132">
      <c r="A132" s="13" t="s">
        <v>11</v>
      </c>
      <c r="B132" s="9" t="str">
        <f>IFERROR(__xludf.DUMMYFUNCTION("""COMPUTED_VALUE"""),"陳O驊")</f>
        <v>陳O驊</v>
      </c>
      <c r="C132" s="9" t="str">
        <f>IFERROR(__xludf.DUMMYFUNCTION("""COMPUTED_VALUE"""),"113*****@gm.nkhs.tp.edu.tw")</f>
        <v>113*****@gm.nkhs.tp.edu.tw</v>
      </c>
      <c r="D132" s="9" t="str">
        <f>IFERROR(__xludf.DUMMYFUNCTION("""COMPUTED_VALUE"""),"臺北市立南港高級工業職業學校")</f>
        <v>臺北市立南港高級工業職業學校</v>
      </c>
      <c r="E132" s="9" t="str">
        <f>IFERROR(__xludf.DUMMYFUNCTION("""COMPUTED_VALUE"""),"電子科")</f>
        <v>電子科</v>
      </c>
      <c r="F132" s="9" t="str">
        <f>IFERROR(__xludf.DUMMYFUNCTION("""COMPUTED_VALUE"""),"二年級")</f>
        <v>二年級</v>
      </c>
      <c r="G132" s="9" t="str">
        <f>IFERROR(__xludf.DUMMYFUNCTION("""COMPUTED_VALUE"""),"獎狀")</f>
        <v>獎狀</v>
      </c>
      <c r="H132" s="9"/>
    </row>
    <row r="133">
      <c r="A133" s="13" t="s">
        <v>11</v>
      </c>
      <c r="B133" s="9" t="str">
        <f>IFERROR(__xludf.DUMMYFUNCTION("""COMPUTED_VALUE"""),"張O智")</f>
        <v>張O智</v>
      </c>
      <c r="C133" s="9" t="str">
        <f>IFERROR(__xludf.DUMMYFUNCTION("""COMPUTED_VALUE"""),"113*****@gm.nkhs.tp.edu.tw")</f>
        <v>113*****@gm.nkhs.tp.edu.tw</v>
      </c>
      <c r="D133" s="9" t="str">
        <f>IFERROR(__xludf.DUMMYFUNCTION("""COMPUTED_VALUE"""),"臺北市立南港高級工業職業學校")</f>
        <v>臺北市立南港高級工業職業學校</v>
      </c>
      <c r="E133" s="9" t="str">
        <f>IFERROR(__xludf.DUMMYFUNCTION("""COMPUTED_VALUE"""),"電子科")</f>
        <v>電子科</v>
      </c>
      <c r="F133" s="9" t="str">
        <f>IFERROR(__xludf.DUMMYFUNCTION("""COMPUTED_VALUE"""),"二年級")</f>
        <v>二年級</v>
      </c>
      <c r="G133" s="9" t="str">
        <f>IFERROR(__xludf.DUMMYFUNCTION("""COMPUTED_VALUE"""),"★商品卡$1000")</f>
        <v>★商品卡$1000</v>
      </c>
      <c r="H133" s="9"/>
    </row>
    <row r="134">
      <c r="A134" s="13" t="s">
        <v>11</v>
      </c>
      <c r="B134" s="9" t="str">
        <f>IFERROR(__xludf.DUMMYFUNCTION("""COMPUTED_VALUE"""),"張O瀚")</f>
        <v>張O瀚</v>
      </c>
      <c r="C134" s="9" t="str">
        <f>IFERROR(__xludf.DUMMYFUNCTION("""COMPUTED_VALUE"""),"113*****@gm.nkhs.tp.edu.tw")</f>
        <v>113*****@gm.nkhs.tp.edu.tw</v>
      </c>
      <c r="D134" s="9" t="str">
        <f>IFERROR(__xludf.DUMMYFUNCTION("""COMPUTED_VALUE"""),"臺北市立南港高級工業職業學校")</f>
        <v>臺北市立南港高級工業職業學校</v>
      </c>
      <c r="E134" s="9" t="str">
        <f>IFERROR(__xludf.DUMMYFUNCTION("""COMPUTED_VALUE"""),"電子科子科")</f>
        <v>電子科子科</v>
      </c>
      <c r="F134" s="9" t="str">
        <f>IFERROR(__xludf.DUMMYFUNCTION("""COMPUTED_VALUE"""),"二年級")</f>
        <v>二年級</v>
      </c>
      <c r="G134" s="9" t="str">
        <f>IFERROR(__xludf.DUMMYFUNCTION("""COMPUTED_VALUE"""),"獎狀")</f>
        <v>獎狀</v>
      </c>
      <c r="H134" s="9"/>
    </row>
    <row r="135">
      <c r="A135" s="13" t="s">
        <v>11</v>
      </c>
      <c r="B135" s="9" t="str">
        <f>IFERROR(__xludf.DUMMYFUNCTION("""COMPUTED_VALUE"""),"蔡O妡")</f>
        <v>蔡O妡</v>
      </c>
      <c r="C135" s="9" t="str">
        <f>IFERROR(__xludf.DUMMYFUNCTION("""COMPUTED_VALUE"""),"sc0*****m.kl.edu.tw")</f>
        <v>sc0*****m.kl.edu.tw</v>
      </c>
      <c r="D135" s="9" t="str">
        <f>IFERROR(__xludf.DUMMYFUNCTION("""COMPUTED_VALUE"""),"二信學校財團法人基隆市二信高級中學")</f>
        <v>二信學校財團法人基隆市二信高級中學</v>
      </c>
      <c r="E135" s="9" t="str">
        <f>IFERROR(__xludf.DUMMYFUNCTION("""COMPUTED_VALUE"""),"資處科")</f>
        <v>資處科</v>
      </c>
      <c r="F135" s="9" t="str">
        <f>IFERROR(__xludf.DUMMYFUNCTION("""COMPUTED_VALUE"""),"二年級")</f>
        <v>二年級</v>
      </c>
      <c r="G135" s="9" t="str">
        <f>IFERROR(__xludf.DUMMYFUNCTION("""COMPUTED_VALUE"""),"獎狀")</f>
        <v>獎狀</v>
      </c>
      <c r="H135" s="9"/>
    </row>
    <row r="136">
      <c r="A136" s="13" t="s">
        <v>11</v>
      </c>
      <c r="B136" s="9" t="str">
        <f>IFERROR(__xludf.DUMMYFUNCTION("""COMPUTED_VALUE"""),"蔡O宸")</f>
        <v>蔡O宸</v>
      </c>
      <c r="C136" s="9" t="str">
        <f>IFERROR(__xludf.DUMMYFUNCTION("""COMPUTED_VALUE"""),"002*****uite.essh.kl.edu.tw")</f>
        <v>002*****uite.essh.kl.edu.tw</v>
      </c>
      <c r="D136" s="9" t="str">
        <f>IFERROR(__xludf.DUMMYFUNCTION("""COMPUTED_VALUE"""),"二信學校財團法人基隆市二信高級中學")</f>
        <v>二信學校財團法人基隆市二信高級中學</v>
      </c>
      <c r="E136" s="9" t="str">
        <f>IFERROR(__xludf.DUMMYFUNCTION("""COMPUTED_VALUE"""),"電機")</f>
        <v>電機</v>
      </c>
      <c r="F136" s="9" t="str">
        <f>IFERROR(__xludf.DUMMYFUNCTION("""COMPUTED_VALUE"""),"二年級")</f>
        <v>二年級</v>
      </c>
      <c r="G136" s="9" t="str">
        <f>IFERROR(__xludf.DUMMYFUNCTION("""COMPUTED_VALUE"""),"獎狀")</f>
        <v>獎狀</v>
      </c>
      <c r="H136" s="9"/>
    </row>
    <row r="137">
      <c r="A137" s="13" t="s">
        <v>11</v>
      </c>
      <c r="B137" s="9" t="str">
        <f>IFERROR(__xludf.DUMMYFUNCTION("""COMPUTED_VALUE"""),"杜O辰")</f>
        <v>杜O辰</v>
      </c>
      <c r="C137" s="9" t="str">
        <f>IFERROR(__xludf.DUMMYFUNCTION("""COMPUTED_VALUE"""),"313*****suite.essh.kl.edu.tw")</f>
        <v>313*****suite.essh.kl.edu.tw</v>
      </c>
      <c r="D137" s="9" t="str">
        <f>IFERROR(__xludf.DUMMYFUNCTION("""COMPUTED_VALUE"""),"二信學校財團法人基隆市二信高級中學")</f>
        <v>二信學校財團法人基隆市二信高級中學</v>
      </c>
      <c r="E137" s="9" t="str">
        <f>IFERROR(__xludf.DUMMYFUNCTION("""COMPUTED_VALUE"""),"電機")</f>
        <v>電機</v>
      </c>
      <c r="F137" s="9" t="str">
        <f>IFERROR(__xludf.DUMMYFUNCTION("""COMPUTED_VALUE"""),"二年級")</f>
        <v>二年級</v>
      </c>
      <c r="G137" s="9" t="str">
        <f>IFERROR(__xludf.DUMMYFUNCTION("""COMPUTED_VALUE"""),"獎狀")</f>
        <v>獎狀</v>
      </c>
      <c r="H137" s="9"/>
    </row>
    <row r="138">
      <c r="A138" s="13" t="s">
        <v>11</v>
      </c>
      <c r="B138" s="9" t="str">
        <f>IFERROR(__xludf.DUMMYFUNCTION("""COMPUTED_VALUE"""),"王O麟")</f>
        <v>王O麟</v>
      </c>
      <c r="C138" s="9" t="str">
        <f>IFERROR(__xludf.DUMMYFUNCTION("""COMPUTED_VALUE"""),"313*****suite.essh.kl.edu.tw")</f>
        <v>313*****suite.essh.kl.edu.tw</v>
      </c>
      <c r="D138" s="9" t="str">
        <f>IFERROR(__xludf.DUMMYFUNCTION("""COMPUTED_VALUE"""),"二信學校財團法人基隆市二信高級中學")</f>
        <v>二信學校財團法人基隆市二信高級中學</v>
      </c>
      <c r="E138" s="9" t="str">
        <f>IFERROR(__xludf.DUMMYFUNCTION("""COMPUTED_VALUE"""),"電機科")</f>
        <v>電機科</v>
      </c>
      <c r="F138" s="9" t="str">
        <f>IFERROR(__xludf.DUMMYFUNCTION("""COMPUTED_VALUE"""),"一年級")</f>
        <v>一年級</v>
      </c>
      <c r="G138" s="9" t="str">
        <f>IFERROR(__xludf.DUMMYFUNCTION("""COMPUTED_VALUE"""),"獎狀")</f>
        <v>獎狀</v>
      </c>
      <c r="H138" s="9"/>
    </row>
    <row r="139">
      <c r="A139" s="13" t="s">
        <v>11</v>
      </c>
      <c r="B139" s="9" t="str">
        <f>IFERROR(__xludf.DUMMYFUNCTION("""COMPUTED_VALUE"""),"黃O勛")</f>
        <v>黃O勛</v>
      </c>
      <c r="C139" s="9" t="str">
        <f>IFERROR(__xludf.DUMMYFUNCTION("""COMPUTED_VALUE"""),"313*****suite.essh.kl.edu.tw")</f>
        <v>313*****suite.essh.kl.edu.tw</v>
      </c>
      <c r="D139" s="9" t="str">
        <f>IFERROR(__xludf.DUMMYFUNCTION("""COMPUTED_VALUE"""),"二信學校財團法人基隆市二信高級中學")</f>
        <v>二信學校財團法人基隆市二信高級中學</v>
      </c>
      <c r="E139" s="9" t="str">
        <f>IFERROR(__xludf.DUMMYFUNCTION("""COMPUTED_VALUE"""),"電機科")</f>
        <v>電機科</v>
      </c>
      <c r="F139" s="9" t="str">
        <f>IFERROR(__xludf.DUMMYFUNCTION("""COMPUTED_VALUE"""),"一年級")</f>
        <v>一年級</v>
      </c>
      <c r="G139" s="9" t="str">
        <f>IFERROR(__xludf.DUMMYFUNCTION("""COMPUTED_VALUE"""),"獎狀")</f>
        <v>獎狀</v>
      </c>
      <c r="H139" s="9"/>
    </row>
    <row r="140">
      <c r="A140" s="13" t="s">
        <v>11</v>
      </c>
      <c r="B140" s="9" t="str">
        <f>IFERROR(__xludf.DUMMYFUNCTION("""COMPUTED_VALUE"""),"余O翰")</f>
        <v>余O翰</v>
      </c>
      <c r="C140" s="9" t="str">
        <f>IFERROR(__xludf.DUMMYFUNCTION("""COMPUTED_VALUE"""),"313*****suite.essh.kl.edu.tw")</f>
        <v>313*****suite.essh.kl.edu.tw</v>
      </c>
      <c r="D140" s="9" t="str">
        <f>IFERROR(__xludf.DUMMYFUNCTION("""COMPUTED_VALUE"""),"二信學校財團法人基隆市二信高級中學")</f>
        <v>二信學校財團法人基隆市二信高級中學</v>
      </c>
      <c r="E140" s="9" t="str">
        <f>IFERROR(__xludf.DUMMYFUNCTION("""COMPUTED_VALUE"""),"電機科")</f>
        <v>電機科</v>
      </c>
      <c r="F140" s="9" t="str">
        <f>IFERROR(__xludf.DUMMYFUNCTION("""COMPUTED_VALUE"""),"一年級")</f>
        <v>一年級</v>
      </c>
      <c r="G140" s="9" t="str">
        <f>IFERROR(__xludf.DUMMYFUNCTION("""COMPUTED_VALUE"""),"獎狀")</f>
        <v>獎狀</v>
      </c>
      <c r="H140" s="9"/>
    </row>
    <row r="141">
      <c r="A141" s="13" t="s">
        <v>11</v>
      </c>
      <c r="B141" s="9" t="str">
        <f>IFERROR(__xludf.DUMMYFUNCTION("""COMPUTED_VALUE"""),"黃O祥")</f>
        <v>黃O祥</v>
      </c>
      <c r="C141" s="9" t="str">
        <f>IFERROR(__xludf.DUMMYFUNCTION("""COMPUTED_VALUE"""),"313*****suite.essh.kl.edu.tw")</f>
        <v>313*****suite.essh.kl.edu.tw</v>
      </c>
      <c r="D141" s="9" t="str">
        <f>IFERROR(__xludf.DUMMYFUNCTION("""COMPUTED_VALUE"""),"二信學校財團法人基隆市二信高級中學")</f>
        <v>二信學校財團法人基隆市二信高級中學</v>
      </c>
      <c r="E141" s="9" t="str">
        <f>IFERROR(__xludf.DUMMYFUNCTION("""COMPUTED_VALUE"""),"電機科")</f>
        <v>電機科</v>
      </c>
      <c r="F141" s="9" t="str">
        <f>IFERROR(__xludf.DUMMYFUNCTION("""COMPUTED_VALUE"""),"二年級")</f>
        <v>二年級</v>
      </c>
      <c r="G141" s="9" t="str">
        <f>IFERROR(__xludf.DUMMYFUNCTION("""COMPUTED_VALUE"""),"獎狀")</f>
        <v>獎狀</v>
      </c>
      <c r="H141" s="9"/>
    </row>
    <row r="142">
      <c r="A142" s="13" t="s">
        <v>11</v>
      </c>
      <c r="B142" s="9" t="str">
        <f>IFERROR(__xludf.DUMMYFUNCTION("""COMPUTED_VALUE"""),"夏O宏")</f>
        <v>夏O宏</v>
      </c>
      <c r="C142" s="9" t="str">
        <f>IFERROR(__xludf.DUMMYFUNCTION("""COMPUTED_VALUE"""),"004*****uite.essh.kl.edu.tw")</f>
        <v>004*****uite.essh.kl.edu.tw</v>
      </c>
      <c r="D142" s="9" t="str">
        <f>IFERROR(__xludf.DUMMYFUNCTION("""COMPUTED_VALUE"""),"二信學校財團法人基隆市二信高級中學")</f>
        <v>二信學校財團法人基隆市二信高級中學</v>
      </c>
      <c r="E142" s="9" t="str">
        <f>IFERROR(__xludf.DUMMYFUNCTION("""COMPUTED_VALUE"""),"電機科")</f>
        <v>電機科</v>
      </c>
      <c r="F142" s="9" t="str">
        <f>IFERROR(__xludf.DUMMYFUNCTION("""COMPUTED_VALUE"""),"二年級")</f>
        <v>二年級</v>
      </c>
      <c r="G142" s="9" t="str">
        <f>IFERROR(__xludf.DUMMYFUNCTION("""COMPUTED_VALUE"""),"獎狀")</f>
        <v>獎狀</v>
      </c>
      <c r="H142" s="9"/>
    </row>
    <row r="143">
      <c r="A143" s="13" t="s">
        <v>11</v>
      </c>
      <c r="B143" s="9" t="str">
        <f>IFERROR(__xludf.DUMMYFUNCTION("""COMPUTED_VALUE"""),"温O豫")</f>
        <v>温O豫</v>
      </c>
      <c r="C143" s="9" t="str">
        <f>IFERROR(__xludf.DUMMYFUNCTION("""COMPUTED_VALUE"""),"ch1*****@gmail.com")</f>
        <v>ch1*****@gmail.com</v>
      </c>
      <c r="D143" s="9" t="str">
        <f>IFERROR(__xludf.DUMMYFUNCTION("""COMPUTED_VALUE"""),"二信學校財團法人基隆市二信高級中學")</f>
        <v>二信學校財團法人基隆市二信高級中學</v>
      </c>
      <c r="E143" s="9" t="str">
        <f>IFERROR(__xludf.DUMMYFUNCTION("""COMPUTED_VALUE"""),"電機科")</f>
        <v>電機科</v>
      </c>
      <c r="F143" s="9" t="str">
        <f>IFERROR(__xludf.DUMMYFUNCTION("""COMPUTED_VALUE"""),"二年級")</f>
        <v>二年級</v>
      </c>
      <c r="G143" s="9" t="str">
        <f>IFERROR(__xludf.DUMMYFUNCTION("""COMPUTED_VALUE"""),"獎狀")</f>
        <v>獎狀</v>
      </c>
      <c r="H143" s="9"/>
    </row>
    <row r="144">
      <c r="A144" s="13" t="s">
        <v>11</v>
      </c>
      <c r="B144" s="9" t="str">
        <f>IFERROR(__xludf.DUMMYFUNCTION("""COMPUTED_VALUE"""),"黃O欣")</f>
        <v>黃O欣</v>
      </c>
      <c r="C144" s="9" t="str">
        <f>IFERROR(__xludf.DUMMYFUNCTION("""COMPUTED_VALUE"""),"had*****2009@gmail.com")</f>
        <v>had*****2009@gmail.com</v>
      </c>
      <c r="D144" s="9" t="str">
        <f>IFERROR(__xludf.DUMMYFUNCTION("""COMPUTED_VALUE"""),"二信學校財團法人基隆市二信高級中學")</f>
        <v>二信學校財團法人基隆市二信高級中學</v>
      </c>
      <c r="E144" s="9" t="str">
        <f>IFERROR(__xludf.DUMMYFUNCTION("""COMPUTED_VALUE"""),"電機科")</f>
        <v>電機科</v>
      </c>
      <c r="F144" s="9" t="str">
        <f>IFERROR(__xludf.DUMMYFUNCTION("""COMPUTED_VALUE"""),"二年級")</f>
        <v>二年級</v>
      </c>
      <c r="G144" s="9" t="str">
        <f>IFERROR(__xludf.DUMMYFUNCTION("""COMPUTED_VALUE"""),"獎狀")</f>
        <v>獎狀</v>
      </c>
      <c r="H144" s="9"/>
    </row>
    <row r="145">
      <c r="A145" s="13" t="s">
        <v>11</v>
      </c>
      <c r="B145" s="9" t="str">
        <f>IFERROR(__xludf.DUMMYFUNCTION("""COMPUTED_VALUE"""),"吳O睿")</f>
        <v>吳O睿</v>
      </c>
      <c r="C145" s="9" t="str">
        <f>IFERROR(__xludf.DUMMYFUNCTION("""COMPUTED_VALUE"""),"313*****suite.essh.kl.edu.tw")</f>
        <v>313*****suite.essh.kl.edu.tw</v>
      </c>
      <c r="D145" s="9" t="str">
        <f>IFERROR(__xludf.DUMMYFUNCTION("""COMPUTED_VALUE"""),"二信學校財團法人基隆市二信高級中學")</f>
        <v>二信學校財團法人基隆市二信高級中學</v>
      </c>
      <c r="E145" s="9" t="str">
        <f>IFERROR(__xludf.DUMMYFUNCTION("""COMPUTED_VALUE"""),"電機科")</f>
        <v>電機科</v>
      </c>
      <c r="F145" s="9" t="str">
        <f>IFERROR(__xludf.DUMMYFUNCTION("""COMPUTED_VALUE"""),"二年級")</f>
        <v>二年級</v>
      </c>
      <c r="G145" s="9" t="str">
        <f>IFERROR(__xludf.DUMMYFUNCTION("""COMPUTED_VALUE"""),"獎狀")</f>
        <v>獎狀</v>
      </c>
      <c r="H145" s="9"/>
    </row>
    <row r="146">
      <c r="A146" s="13" t="s">
        <v>11</v>
      </c>
      <c r="B146" s="9" t="str">
        <f>IFERROR(__xludf.DUMMYFUNCTION("""COMPUTED_VALUE"""),"賴O侖")</f>
        <v>賴O侖</v>
      </c>
      <c r="C146" s="9" t="str">
        <f>IFERROR(__xludf.DUMMYFUNCTION("""COMPUTED_VALUE"""),"313*****suite.essh.kl.edu.tw")</f>
        <v>313*****suite.essh.kl.edu.tw</v>
      </c>
      <c r="D146" s="9" t="str">
        <f>IFERROR(__xludf.DUMMYFUNCTION("""COMPUTED_VALUE"""),"二信學校財團法人基隆市二信高級中學")</f>
        <v>二信學校財團法人基隆市二信高級中學</v>
      </c>
      <c r="E146" s="9" t="str">
        <f>IFERROR(__xludf.DUMMYFUNCTION("""COMPUTED_VALUE"""),"電機科")</f>
        <v>電機科</v>
      </c>
      <c r="F146" s="9" t="str">
        <f>IFERROR(__xludf.DUMMYFUNCTION("""COMPUTED_VALUE"""),"二年級")</f>
        <v>二年級</v>
      </c>
      <c r="G146" s="9" t="str">
        <f>IFERROR(__xludf.DUMMYFUNCTION("""COMPUTED_VALUE"""),"獎狀")</f>
        <v>獎狀</v>
      </c>
      <c r="H146" s="9"/>
    </row>
    <row r="147">
      <c r="A147" s="13" t="s">
        <v>11</v>
      </c>
      <c r="B147" s="9" t="str">
        <f>IFERROR(__xludf.DUMMYFUNCTION("""COMPUTED_VALUE"""),"李O毅")</f>
        <v>李O毅</v>
      </c>
      <c r="C147" s="9" t="str">
        <f>IFERROR(__xludf.DUMMYFUNCTION("""COMPUTED_VALUE"""),"eth*****113@gmail.com")</f>
        <v>eth*****113@gmail.com</v>
      </c>
      <c r="D147" s="9" t="str">
        <f>IFERROR(__xludf.DUMMYFUNCTION("""COMPUTED_VALUE"""),"二信學校財團法人基隆市二信高級中學")</f>
        <v>二信學校財團法人基隆市二信高級中學</v>
      </c>
      <c r="E147" s="9" t="str">
        <f>IFERROR(__xludf.DUMMYFUNCTION("""COMPUTED_VALUE"""),"電機科")</f>
        <v>電機科</v>
      </c>
      <c r="F147" s="9" t="str">
        <f>IFERROR(__xludf.DUMMYFUNCTION("""COMPUTED_VALUE"""),"二年級")</f>
        <v>二年級</v>
      </c>
      <c r="G147" s="9" t="str">
        <f>IFERROR(__xludf.DUMMYFUNCTION("""COMPUTED_VALUE"""),"獎狀")</f>
        <v>獎狀</v>
      </c>
      <c r="H147" s="9"/>
    </row>
    <row r="148">
      <c r="A148" s="13" t="s">
        <v>11</v>
      </c>
      <c r="B148" s="9" t="str">
        <f>IFERROR(__xludf.DUMMYFUNCTION("""COMPUTED_VALUE"""),"李O淋")</f>
        <v>李O淋</v>
      </c>
      <c r="C148" s="9" t="str">
        <f>IFERROR(__xludf.DUMMYFUNCTION("""COMPUTED_VALUE"""),"313*****suite.essh.kl.edu.tw")</f>
        <v>313*****suite.essh.kl.edu.tw</v>
      </c>
      <c r="D148" s="9" t="str">
        <f>IFERROR(__xludf.DUMMYFUNCTION("""COMPUTED_VALUE"""),"二信學校財團法人基隆市二信高級中學")</f>
        <v>二信學校財團法人基隆市二信高級中學</v>
      </c>
      <c r="E148" s="9" t="str">
        <f>IFERROR(__xludf.DUMMYFUNCTION("""COMPUTED_VALUE"""),"電機科")</f>
        <v>電機科</v>
      </c>
      <c r="F148" s="9" t="str">
        <f>IFERROR(__xludf.DUMMYFUNCTION("""COMPUTED_VALUE"""),"二年級")</f>
        <v>二年級</v>
      </c>
      <c r="G148" s="9" t="str">
        <f>IFERROR(__xludf.DUMMYFUNCTION("""COMPUTED_VALUE"""),"獎狀")</f>
        <v>獎狀</v>
      </c>
      <c r="H148" s="9"/>
    </row>
    <row r="149">
      <c r="A149" s="13" t="s">
        <v>11</v>
      </c>
      <c r="B149" s="9" t="str">
        <f>IFERROR(__xludf.DUMMYFUNCTION("""COMPUTED_VALUE"""),"黃O瑩")</f>
        <v>黃O瑩</v>
      </c>
      <c r="C149" s="9" t="str">
        <f>IFERROR(__xludf.DUMMYFUNCTION("""COMPUTED_VALUE"""),"313*****suite.essh.kl.edu.tw")</f>
        <v>313*****suite.essh.kl.edu.tw</v>
      </c>
      <c r="D149" s="9" t="str">
        <f>IFERROR(__xludf.DUMMYFUNCTION("""COMPUTED_VALUE"""),"二信學校財團法人基隆市二信高級中學")</f>
        <v>二信學校財團法人基隆市二信高級中學</v>
      </c>
      <c r="E149" s="9" t="str">
        <f>IFERROR(__xludf.DUMMYFUNCTION("""COMPUTED_VALUE"""),"電機科")</f>
        <v>電機科</v>
      </c>
      <c r="F149" s="9" t="str">
        <f>IFERROR(__xludf.DUMMYFUNCTION("""COMPUTED_VALUE"""),"二年級")</f>
        <v>二年級</v>
      </c>
      <c r="G149" s="9" t="str">
        <f>IFERROR(__xludf.DUMMYFUNCTION("""COMPUTED_VALUE"""),"■商品卡$200")</f>
        <v>■商品卡$200</v>
      </c>
      <c r="H149" s="9"/>
    </row>
    <row r="150">
      <c r="A150" s="13" t="s">
        <v>11</v>
      </c>
      <c r="B150" s="9" t="str">
        <f>IFERROR(__xludf.DUMMYFUNCTION("""COMPUTED_VALUE"""),"陳O穎")</f>
        <v>陳O穎</v>
      </c>
      <c r="C150" s="9" t="str">
        <f>IFERROR(__xludf.DUMMYFUNCTION("""COMPUTED_VALUE"""),"313*****suite.essh.kl.edu.tw")</f>
        <v>313*****suite.essh.kl.edu.tw</v>
      </c>
      <c r="D150" s="9" t="str">
        <f>IFERROR(__xludf.DUMMYFUNCTION("""COMPUTED_VALUE"""),"二信學校財團法人基隆市二信高級中學")</f>
        <v>二信學校財團法人基隆市二信高級中學</v>
      </c>
      <c r="E150" s="9" t="str">
        <f>IFERROR(__xludf.DUMMYFUNCTION("""COMPUTED_VALUE"""),"電機科")</f>
        <v>電機科</v>
      </c>
      <c r="F150" s="9" t="str">
        <f>IFERROR(__xludf.DUMMYFUNCTION("""COMPUTED_VALUE"""),"二年級")</f>
        <v>二年級</v>
      </c>
      <c r="G150" s="9" t="str">
        <f>IFERROR(__xludf.DUMMYFUNCTION("""COMPUTED_VALUE"""),"獎狀")</f>
        <v>獎狀</v>
      </c>
      <c r="H150" s="9"/>
    </row>
    <row r="151">
      <c r="A151" s="13" t="s">
        <v>11</v>
      </c>
      <c r="B151" s="9" t="str">
        <f>IFERROR(__xludf.DUMMYFUNCTION("""COMPUTED_VALUE"""),"許O凱")</f>
        <v>許O凱</v>
      </c>
      <c r="C151" s="9" t="str">
        <f>IFERROR(__xludf.DUMMYFUNCTION("""COMPUTED_VALUE"""),"313*****suite.essh.kl.edu.tw")</f>
        <v>313*****suite.essh.kl.edu.tw</v>
      </c>
      <c r="D151" s="9" t="str">
        <f>IFERROR(__xludf.DUMMYFUNCTION("""COMPUTED_VALUE"""),"二信學校財團法人基隆市二信高級中學")</f>
        <v>二信學校財團法人基隆市二信高級中學</v>
      </c>
      <c r="E151" s="9" t="str">
        <f>IFERROR(__xludf.DUMMYFUNCTION("""COMPUTED_VALUE"""),"電機科")</f>
        <v>電機科</v>
      </c>
      <c r="F151" s="9" t="str">
        <f>IFERROR(__xludf.DUMMYFUNCTION("""COMPUTED_VALUE"""),"二年級")</f>
        <v>二年級</v>
      </c>
      <c r="G151" s="9" t="str">
        <f>IFERROR(__xludf.DUMMYFUNCTION("""COMPUTED_VALUE"""),"★商品卡$1000")</f>
        <v>★商品卡$1000</v>
      </c>
      <c r="H151" s="9"/>
    </row>
    <row r="152">
      <c r="A152" s="13" t="s">
        <v>11</v>
      </c>
      <c r="B152" s="9" t="str">
        <f>IFERROR(__xludf.DUMMYFUNCTION("""COMPUTED_VALUE"""),"曾O丞")</f>
        <v>曾O丞</v>
      </c>
      <c r="C152" s="9" t="str">
        <f>IFERROR(__xludf.DUMMYFUNCTION("""COMPUTED_VALUE"""),"313*****suite.essh.kl.edu.tw")</f>
        <v>313*****suite.essh.kl.edu.tw</v>
      </c>
      <c r="D152" s="9" t="str">
        <f>IFERROR(__xludf.DUMMYFUNCTION("""COMPUTED_VALUE"""),"二信學校財團法人基隆市二信高級中學")</f>
        <v>二信學校財團法人基隆市二信高級中學</v>
      </c>
      <c r="E152" s="9" t="str">
        <f>IFERROR(__xludf.DUMMYFUNCTION("""COMPUTED_VALUE"""),"電機科")</f>
        <v>電機科</v>
      </c>
      <c r="F152" s="9" t="str">
        <f>IFERROR(__xludf.DUMMYFUNCTION("""COMPUTED_VALUE"""),"二年級")</f>
        <v>二年級</v>
      </c>
      <c r="G152" s="9" t="str">
        <f>IFERROR(__xludf.DUMMYFUNCTION("""COMPUTED_VALUE"""),"■商品卡$200")</f>
        <v>■商品卡$200</v>
      </c>
      <c r="H152" s="9"/>
    </row>
    <row r="153">
      <c r="A153" s="13" t="s">
        <v>11</v>
      </c>
      <c r="B153" s="9" t="str">
        <f>IFERROR(__xludf.DUMMYFUNCTION("""COMPUTED_VALUE"""),"林O容")</f>
        <v>林O容</v>
      </c>
      <c r="C153" s="9" t="str">
        <f>IFERROR(__xludf.DUMMYFUNCTION("""COMPUTED_VALUE"""),"313*****suite.essh.kl.edu.tw")</f>
        <v>313*****suite.essh.kl.edu.tw</v>
      </c>
      <c r="D153" s="9" t="str">
        <f>IFERROR(__xludf.DUMMYFUNCTION("""COMPUTED_VALUE"""),"二信學校財團法人基隆市二信高級中學")</f>
        <v>二信學校財團法人基隆市二信高級中學</v>
      </c>
      <c r="E153" s="9" t="str">
        <f>IFERROR(__xludf.DUMMYFUNCTION("""COMPUTED_VALUE"""),"電機科")</f>
        <v>電機科</v>
      </c>
      <c r="F153" s="9" t="str">
        <f>IFERROR(__xludf.DUMMYFUNCTION("""COMPUTED_VALUE"""),"二年級")</f>
        <v>二年級</v>
      </c>
      <c r="G153" s="9" t="str">
        <f>IFERROR(__xludf.DUMMYFUNCTION("""COMPUTED_VALUE"""),"獎狀")</f>
        <v>獎狀</v>
      </c>
      <c r="H153" s="9"/>
    </row>
    <row r="154">
      <c r="A154" s="13" t="s">
        <v>11</v>
      </c>
      <c r="B154" s="9" t="str">
        <f>IFERROR(__xludf.DUMMYFUNCTION("""COMPUTED_VALUE"""),"陳O")</f>
        <v>陳O</v>
      </c>
      <c r="C154" s="9" t="str">
        <f>IFERROR(__xludf.DUMMYFUNCTION("""COMPUTED_VALUE"""),"313*****suite.essh.kl.edu.tw")</f>
        <v>313*****suite.essh.kl.edu.tw</v>
      </c>
      <c r="D154" s="9" t="str">
        <f>IFERROR(__xludf.DUMMYFUNCTION("""COMPUTED_VALUE"""),"二信學校財團法人基隆市二信高級中學")</f>
        <v>二信學校財團法人基隆市二信高級中學</v>
      </c>
      <c r="E154" s="9" t="str">
        <f>IFERROR(__xludf.DUMMYFUNCTION("""COMPUTED_VALUE"""),"電機科")</f>
        <v>電機科</v>
      </c>
      <c r="F154" s="9" t="str">
        <f>IFERROR(__xludf.DUMMYFUNCTION("""COMPUTED_VALUE"""),"二年級")</f>
        <v>二年級</v>
      </c>
      <c r="G154" s="9" t="str">
        <f>IFERROR(__xludf.DUMMYFUNCTION("""COMPUTED_VALUE"""),"獎狀")</f>
        <v>獎狀</v>
      </c>
      <c r="H154" s="9"/>
    </row>
    <row r="155">
      <c r="A155" s="13" t="s">
        <v>11</v>
      </c>
      <c r="B155" s="9" t="str">
        <f>IFERROR(__xludf.DUMMYFUNCTION("""COMPUTED_VALUE"""),"劉O宸")</f>
        <v>劉O宸</v>
      </c>
      <c r="C155" s="9" t="str">
        <f>IFERROR(__xludf.DUMMYFUNCTION("""COMPUTED_VALUE"""),"liu*****@gmail.com")</f>
        <v>liu*****@gmail.com</v>
      </c>
      <c r="D155" s="9" t="str">
        <f>IFERROR(__xludf.DUMMYFUNCTION("""COMPUTED_VALUE"""),"二信學校財團法人基隆市二信高級中學")</f>
        <v>二信學校財團法人基隆市二信高級中學</v>
      </c>
      <c r="E155" s="9" t="str">
        <f>IFERROR(__xludf.DUMMYFUNCTION("""COMPUTED_VALUE"""),"電機科")</f>
        <v>電機科</v>
      </c>
      <c r="F155" s="9" t="str">
        <f>IFERROR(__xludf.DUMMYFUNCTION("""COMPUTED_VALUE"""),"二年級")</f>
        <v>二年級</v>
      </c>
      <c r="G155" s="9" t="str">
        <f>IFERROR(__xludf.DUMMYFUNCTION("""COMPUTED_VALUE"""),"獎狀")</f>
        <v>獎狀</v>
      </c>
      <c r="H155" s="9"/>
    </row>
    <row r="156">
      <c r="A156" s="13" t="s">
        <v>11</v>
      </c>
      <c r="B156" s="9" t="str">
        <f>IFERROR(__xludf.DUMMYFUNCTION("""COMPUTED_VALUE"""),"簡O杰")</f>
        <v>簡O杰</v>
      </c>
      <c r="C156" s="9" t="str">
        <f>IFERROR(__xludf.DUMMYFUNCTION("""COMPUTED_VALUE"""),"313*****suite.essh.kl.edu.tw")</f>
        <v>313*****suite.essh.kl.edu.tw</v>
      </c>
      <c r="D156" s="9" t="str">
        <f>IFERROR(__xludf.DUMMYFUNCTION("""COMPUTED_VALUE"""),"二信學校財團法人基隆市二信高級中學")</f>
        <v>二信學校財團法人基隆市二信高級中學</v>
      </c>
      <c r="E156" s="9" t="str">
        <f>IFERROR(__xludf.DUMMYFUNCTION("""COMPUTED_VALUE"""),"電機科")</f>
        <v>電機科</v>
      </c>
      <c r="F156" s="9" t="str">
        <f>IFERROR(__xludf.DUMMYFUNCTION("""COMPUTED_VALUE"""),"二年級")</f>
        <v>二年級</v>
      </c>
      <c r="G156" s="9" t="str">
        <f>IFERROR(__xludf.DUMMYFUNCTION("""COMPUTED_VALUE"""),"獎狀")</f>
        <v>獎狀</v>
      </c>
      <c r="H156" s="9"/>
    </row>
    <row r="157">
      <c r="A157" s="13" t="s">
        <v>11</v>
      </c>
      <c r="B157" s="9" t="str">
        <f>IFERROR(__xludf.DUMMYFUNCTION("""COMPUTED_VALUE"""),"吳O諺")</f>
        <v>吳O諺</v>
      </c>
      <c r="C157" s="9" t="str">
        <f>IFERROR(__xludf.DUMMYFUNCTION("""COMPUTED_VALUE"""),"313*****suite.essh.kl.edu.tw")</f>
        <v>313*****suite.essh.kl.edu.tw</v>
      </c>
      <c r="D157" s="9" t="str">
        <f>IFERROR(__xludf.DUMMYFUNCTION("""COMPUTED_VALUE"""),"二信學校財團法人基隆市二信高級中學")</f>
        <v>二信學校財團法人基隆市二信高級中學</v>
      </c>
      <c r="E157" s="9" t="str">
        <f>IFERROR(__xludf.DUMMYFUNCTION("""COMPUTED_VALUE"""),"電機科")</f>
        <v>電機科</v>
      </c>
      <c r="F157" s="9" t="str">
        <f>IFERROR(__xludf.DUMMYFUNCTION("""COMPUTED_VALUE"""),"二年級")</f>
        <v>二年級</v>
      </c>
      <c r="G157" s="9" t="str">
        <f>IFERROR(__xludf.DUMMYFUNCTION("""COMPUTED_VALUE"""),"獎狀")</f>
        <v>獎狀</v>
      </c>
      <c r="H157" s="9"/>
    </row>
    <row r="158">
      <c r="A158" s="13" t="s">
        <v>11</v>
      </c>
      <c r="B158" s="9" t="str">
        <f>IFERROR(__xludf.DUMMYFUNCTION("""COMPUTED_VALUE"""),"陳O愷")</f>
        <v>陳O愷</v>
      </c>
      <c r="C158" s="9" t="str">
        <f>IFERROR(__xludf.DUMMYFUNCTION("""COMPUTED_VALUE"""),"313*****suite.essh.kl.edu.tw")</f>
        <v>313*****suite.essh.kl.edu.tw</v>
      </c>
      <c r="D158" s="9" t="str">
        <f>IFERROR(__xludf.DUMMYFUNCTION("""COMPUTED_VALUE"""),"二信學校財團法人基隆市二信高級中學")</f>
        <v>二信學校財團法人基隆市二信高級中學</v>
      </c>
      <c r="E158" s="9" t="str">
        <f>IFERROR(__xludf.DUMMYFUNCTION("""COMPUTED_VALUE"""),"電機科")</f>
        <v>電機科</v>
      </c>
      <c r="F158" s="9" t="str">
        <f>IFERROR(__xludf.DUMMYFUNCTION("""COMPUTED_VALUE"""),"二年級")</f>
        <v>二年級</v>
      </c>
      <c r="G158" s="9" t="str">
        <f>IFERROR(__xludf.DUMMYFUNCTION("""COMPUTED_VALUE"""),"獎狀")</f>
        <v>獎狀</v>
      </c>
      <c r="H158" s="9"/>
    </row>
    <row r="159">
      <c r="A159" s="13" t="s">
        <v>11</v>
      </c>
      <c r="B159" s="9" t="str">
        <f>IFERROR(__xludf.DUMMYFUNCTION("""COMPUTED_VALUE"""),"高O勛")</f>
        <v>高O勛</v>
      </c>
      <c r="C159" s="9" t="str">
        <f>IFERROR(__xludf.DUMMYFUNCTION("""COMPUTED_VALUE"""),"312*****suite.essh.kl.edu.tw")</f>
        <v>312*****suite.essh.kl.edu.tw</v>
      </c>
      <c r="D159" s="9" t="str">
        <f>IFERROR(__xludf.DUMMYFUNCTION("""COMPUTED_VALUE"""),"二信學校財團法人基隆市二信高級中學")</f>
        <v>二信學校財團法人基隆市二信高級中學</v>
      </c>
      <c r="E159" s="9" t="str">
        <f>IFERROR(__xludf.DUMMYFUNCTION("""COMPUTED_VALUE"""),"機械科")</f>
        <v>機械科</v>
      </c>
      <c r="F159" s="9" t="str">
        <f>IFERROR(__xludf.DUMMYFUNCTION("""COMPUTED_VALUE"""),"一年級")</f>
        <v>一年級</v>
      </c>
      <c r="G159" s="9" t="str">
        <f>IFERROR(__xludf.DUMMYFUNCTION("""COMPUTED_VALUE"""),"■商品卡$200")</f>
        <v>■商品卡$200</v>
      </c>
      <c r="H159" s="9"/>
    </row>
    <row r="160">
      <c r="A160" s="13" t="s">
        <v>11</v>
      </c>
      <c r="B160" s="9" t="str">
        <f>IFERROR(__xludf.DUMMYFUNCTION("""COMPUTED_VALUE"""),"艾O宇")</f>
        <v>艾O宇</v>
      </c>
      <c r="C160" s="9" t="str">
        <f>IFERROR(__xludf.DUMMYFUNCTION("""COMPUTED_VALUE"""),"312*****suite.essh.kl.edu.tw")</f>
        <v>312*****suite.essh.kl.edu.tw</v>
      </c>
      <c r="D160" s="9" t="str">
        <f>IFERROR(__xludf.DUMMYFUNCTION("""COMPUTED_VALUE"""),"二信學校財團法人基隆市二信高級中學")</f>
        <v>二信學校財團法人基隆市二信高級中學</v>
      </c>
      <c r="E160" s="9" t="str">
        <f>IFERROR(__xludf.DUMMYFUNCTION("""COMPUTED_VALUE"""),"機械科")</f>
        <v>機械科</v>
      </c>
      <c r="F160" s="9" t="str">
        <f>IFERROR(__xludf.DUMMYFUNCTION("""COMPUTED_VALUE"""),"二年級")</f>
        <v>二年級</v>
      </c>
      <c r="G160" s="9" t="str">
        <f>IFERROR(__xludf.DUMMYFUNCTION("""COMPUTED_VALUE"""),"獎狀")</f>
        <v>獎狀</v>
      </c>
      <c r="H160" s="9"/>
    </row>
    <row r="161">
      <c r="A161" s="13" t="s">
        <v>11</v>
      </c>
      <c r="B161" s="9" t="str">
        <f>IFERROR(__xludf.DUMMYFUNCTION("""COMPUTED_VALUE"""),"楊O諺")</f>
        <v>楊O諺</v>
      </c>
      <c r="C161" s="9" t="str">
        <f>IFERROR(__xludf.DUMMYFUNCTION("""COMPUTED_VALUE"""),"312*****suite.essh.kl.edu.tw")</f>
        <v>312*****suite.essh.kl.edu.tw</v>
      </c>
      <c r="D161" s="9" t="str">
        <f>IFERROR(__xludf.DUMMYFUNCTION("""COMPUTED_VALUE"""),"二信學校財團法人基隆市二信高級中學")</f>
        <v>二信學校財團法人基隆市二信高級中學</v>
      </c>
      <c r="E161" s="9" t="str">
        <f>IFERROR(__xludf.DUMMYFUNCTION("""COMPUTED_VALUE"""),"機械科")</f>
        <v>機械科</v>
      </c>
      <c r="F161" s="9" t="str">
        <f>IFERROR(__xludf.DUMMYFUNCTION("""COMPUTED_VALUE"""),"二年級")</f>
        <v>二年級</v>
      </c>
      <c r="G161" s="9" t="str">
        <f>IFERROR(__xludf.DUMMYFUNCTION("""COMPUTED_VALUE"""),"獎狀")</f>
        <v>獎狀</v>
      </c>
      <c r="H161" s="9"/>
    </row>
    <row r="162">
      <c r="A162" s="13" t="s">
        <v>11</v>
      </c>
      <c r="B162" s="9" t="str">
        <f>IFERROR(__xludf.DUMMYFUNCTION("""COMPUTED_VALUE"""),"柯O儒")</f>
        <v>柯O儒</v>
      </c>
      <c r="C162" s="9" t="str">
        <f>IFERROR(__xludf.DUMMYFUNCTION("""COMPUTED_VALUE"""),"312*****suite.essh.kl.edu.tw")</f>
        <v>312*****suite.essh.kl.edu.tw</v>
      </c>
      <c r="D162" s="9" t="str">
        <f>IFERROR(__xludf.DUMMYFUNCTION("""COMPUTED_VALUE"""),"二信學校財團法人基隆市二信高級中學")</f>
        <v>二信學校財團法人基隆市二信高級中學</v>
      </c>
      <c r="E162" s="9" t="str">
        <f>IFERROR(__xludf.DUMMYFUNCTION("""COMPUTED_VALUE"""),"機械科")</f>
        <v>機械科</v>
      </c>
      <c r="F162" s="9" t="str">
        <f>IFERROR(__xludf.DUMMYFUNCTION("""COMPUTED_VALUE"""),"二年級")</f>
        <v>二年級</v>
      </c>
      <c r="G162" s="9" t="str">
        <f>IFERROR(__xludf.DUMMYFUNCTION("""COMPUTED_VALUE"""),"獎狀")</f>
        <v>獎狀</v>
      </c>
      <c r="H162" s="9"/>
    </row>
    <row r="163">
      <c r="A163" s="13" t="s">
        <v>11</v>
      </c>
      <c r="B163" s="9" t="str">
        <f>IFERROR(__xludf.DUMMYFUNCTION("""COMPUTED_VALUE"""),"游O涵")</f>
        <v>游O涵</v>
      </c>
      <c r="C163" s="9" t="str">
        <f>IFERROR(__xludf.DUMMYFUNCTION("""COMPUTED_VALUE"""),"312*****suite.essh.kl.edu.tw")</f>
        <v>312*****suite.essh.kl.edu.tw</v>
      </c>
      <c r="D163" s="9" t="str">
        <f>IFERROR(__xludf.DUMMYFUNCTION("""COMPUTED_VALUE"""),"二信學校財團法人基隆市二信高級中學")</f>
        <v>二信學校財團法人基隆市二信高級中學</v>
      </c>
      <c r="E163" s="9" t="str">
        <f>IFERROR(__xludf.DUMMYFUNCTION("""COMPUTED_VALUE"""),"機械科")</f>
        <v>機械科</v>
      </c>
      <c r="F163" s="9" t="str">
        <f>IFERROR(__xludf.DUMMYFUNCTION("""COMPUTED_VALUE"""),"二年級")</f>
        <v>二年級</v>
      </c>
      <c r="G163" s="9" t="str">
        <f>IFERROR(__xludf.DUMMYFUNCTION("""COMPUTED_VALUE"""),"獎狀")</f>
        <v>獎狀</v>
      </c>
      <c r="H163" s="9"/>
    </row>
    <row r="164">
      <c r="A164" s="13" t="s">
        <v>11</v>
      </c>
      <c r="B164" s="9" t="str">
        <f>IFERROR(__xludf.DUMMYFUNCTION("""COMPUTED_VALUE"""),"林O呈")</f>
        <v>林O呈</v>
      </c>
      <c r="C164" s="9" t="str">
        <f>IFERROR(__xludf.DUMMYFUNCTION("""COMPUTED_VALUE"""),"312*****suite.essh.kl.edu.tw")</f>
        <v>312*****suite.essh.kl.edu.tw</v>
      </c>
      <c r="D164" s="9" t="str">
        <f>IFERROR(__xludf.DUMMYFUNCTION("""COMPUTED_VALUE"""),"二信學校財團法人基隆市二信高級中學")</f>
        <v>二信學校財團法人基隆市二信高級中學</v>
      </c>
      <c r="E164" s="9" t="str">
        <f>IFERROR(__xludf.DUMMYFUNCTION("""COMPUTED_VALUE"""),"機械科")</f>
        <v>機械科</v>
      </c>
      <c r="F164" s="9" t="str">
        <f>IFERROR(__xludf.DUMMYFUNCTION("""COMPUTED_VALUE"""),"二年級")</f>
        <v>二年級</v>
      </c>
      <c r="G164" s="9" t="str">
        <f>IFERROR(__xludf.DUMMYFUNCTION("""COMPUTED_VALUE"""),"獎狀")</f>
        <v>獎狀</v>
      </c>
      <c r="H164" s="9"/>
    </row>
    <row r="165">
      <c r="A165" s="13" t="s">
        <v>11</v>
      </c>
      <c r="B165" s="9" t="str">
        <f>IFERROR(__xludf.DUMMYFUNCTION("""COMPUTED_VALUE"""),"王O瑩")</f>
        <v>王O瑩</v>
      </c>
      <c r="C165" s="9" t="str">
        <f>IFERROR(__xludf.DUMMYFUNCTION("""COMPUTED_VALUE"""),"312*****suite.essh.kl.edu.tw")</f>
        <v>312*****suite.essh.kl.edu.tw</v>
      </c>
      <c r="D165" s="9" t="str">
        <f>IFERROR(__xludf.DUMMYFUNCTION("""COMPUTED_VALUE"""),"二信學校財團法人基隆市二信高級中學")</f>
        <v>二信學校財團法人基隆市二信高級中學</v>
      </c>
      <c r="E165" s="9" t="str">
        <f>IFERROR(__xludf.DUMMYFUNCTION("""COMPUTED_VALUE"""),"機械科")</f>
        <v>機械科</v>
      </c>
      <c r="F165" s="9" t="str">
        <f>IFERROR(__xludf.DUMMYFUNCTION("""COMPUTED_VALUE"""),"二年級")</f>
        <v>二年級</v>
      </c>
      <c r="G165" s="9" t="str">
        <f>IFERROR(__xludf.DUMMYFUNCTION("""COMPUTED_VALUE"""),"獎狀")</f>
        <v>獎狀</v>
      </c>
      <c r="H165" s="9"/>
    </row>
    <row r="166">
      <c r="A166" s="13" t="s">
        <v>11</v>
      </c>
      <c r="B166" s="9" t="str">
        <f>IFERROR(__xludf.DUMMYFUNCTION("""COMPUTED_VALUE"""),"范O筑")</f>
        <v>范O筑</v>
      </c>
      <c r="C166" s="9" t="str">
        <f>IFERROR(__xludf.DUMMYFUNCTION("""COMPUTED_VALUE"""),"312*****suite.essh.kl.edu.tw")</f>
        <v>312*****suite.essh.kl.edu.tw</v>
      </c>
      <c r="D166" s="9" t="str">
        <f>IFERROR(__xludf.DUMMYFUNCTION("""COMPUTED_VALUE"""),"二信學校財團法人基隆市二信高級中學")</f>
        <v>二信學校財團法人基隆市二信高級中學</v>
      </c>
      <c r="E166" s="9" t="str">
        <f>IFERROR(__xludf.DUMMYFUNCTION("""COMPUTED_VALUE"""),"機械科")</f>
        <v>機械科</v>
      </c>
      <c r="F166" s="9" t="str">
        <f>IFERROR(__xludf.DUMMYFUNCTION("""COMPUTED_VALUE"""),"二年級")</f>
        <v>二年級</v>
      </c>
      <c r="G166" s="9" t="str">
        <f>IFERROR(__xludf.DUMMYFUNCTION("""COMPUTED_VALUE"""),"獎狀")</f>
        <v>獎狀</v>
      </c>
      <c r="H166" s="9"/>
    </row>
    <row r="167">
      <c r="A167" s="13" t="s">
        <v>11</v>
      </c>
      <c r="B167" s="9" t="str">
        <f>IFERROR(__xludf.DUMMYFUNCTION("""COMPUTED_VALUE"""),"賴O翰")</f>
        <v>賴O翰</v>
      </c>
      <c r="C167" s="9" t="str">
        <f>IFERROR(__xludf.DUMMYFUNCTION("""COMPUTED_VALUE"""),"312*****suite.essh.kl.edu.tw")</f>
        <v>312*****suite.essh.kl.edu.tw</v>
      </c>
      <c r="D167" s="9" t="str">
        <f>IFERROR(__xludf.DUMMYFUNCTION("""COMPUTED_VALUE"""),"二信學校財團法人基隆市二信高級中學")</f>
        <v>二信學校財團法人基隆市二信高級中學</v>
      </c>
      <c r="E167" s="9" t="str">
        <f>IFERROR(__xludf.DUMMYFUNCTION("""COMPUTED_VALUE"""),"機械科")</f>
        <v>機械科</v>
      </c>
      <c r="F167" s="9" t="str">
        <f>IFERROR(__xludf.DUMMYFUNCTION("""COMPUTED_VALUE"""),"二年級")</f>
        <v>二年級</v>
      </c>
      <c r="G167" s="9" t="str">
        <f>IFERROR(__xludf.DUMMYFUNCTION("""COMPUTED_VALUE"""),"獎狀")</f>
        <v>獎狀</v>
      </c>
      <c r="H167" s="9"/>
    </row>
    <row r="168">
      <c r="A168" s="13" t="s">
        <v>11</v>
      </c>
      <c r="B168" s="9" t="str">
        <f>IFERROR(__xludf.DUMMYFUNCTION("""COMPUTED_VALUE"""),"吳O宏")</f>
        <v>吳O宏</v>
      </c>
      <c r="C168" s="9" t="str">
        <f>IFERROR(__xludf.DUMMYFUNCTION("""COMPUTED_VALUE"""),"312*****suite.essh.kl.edu.tw")</f>
        <v>312*****suite.essh.kl.edu.tw</v>
      </c>
      <c r="D168" s="9" t="str">
        <f>IFERROR(__xludf.DUMMYFUNCTION("""COMPUTED_VALUE"""),"二信學校財團法人基隆市二信高級中學")</f>
        <v>二信學校財團法人基隆市二信高級中學</v>
      </c>
      <c r="E168" s="9" t="str">
        <f>IFERROR(__xludf.DUMMYFUNCTION("""COMPUTED_VALUE"""),"機械科")</f>
        <v>機械科</v>
      </c>
      <c r="F168" s="9" t="str">
        <f>IFERROR(__xludf.DUMMYFUNCTION("""COMPUTED_VALUE"""),"二年級")</f>
        <v>二年級</v>
      </c>
      <c r="G168" s="9" t="str">
        <f>IFERROR(__xludf.DUMMYFUNCTION("""COMPUTED_VALUE"""),"獎狀")</f>
        <v>獎狀</v>
      </c>
      <c r="H168" s="9"/>
    </row>
    <row r="169">
      <c r="A169" s="13" t="s">
        <v>11</v>
      </c>
      <c r="B169" s="9" t="str">
        <f>IFERROR(__xludf.DUMMYFUNCTION("""COMPUTED_VALUE"""),"魏O宸")</f>
        <v>魏O宸</v>
      </c>
      <c r="C169" s="9" t="str">
        <f>IFERROR(__xludf.DUMMYFUNCTION("""COMPUTED_VALUE"""),"312*****suite.essh.kl.edu.tw")</f>
        <v>312*****suite.essh.kl.edu.tw</v>
      </c>
      <c r="D169" s="9" t="str">
        <f>IFERROR(__xludf.DUMMYFUNCTION("""COMPUTED_VALUE"""),"二信學校財團法人基隆市二信高級中學")</f>
        <v>二信學校財團法人基隆市二信高級中學</v>
      </c>
      <c r="E169" s="9" t="str">
        <f>IFERROR(__xludf.DUMMYFUNCTION("""COMPUTED_VALUE"""),"機械科")</f>
        <v>機械科</v>
      </c>
      <c r="F169" s="9" t="str">
        <f>IFERROR(__xludf.DUMMYFUNCTION("""COMPUTED_VALUE"""),"二年級")</f>
        <v>二年級</v>
      </c>
      <c r="G169" s="9" t="str">
        <f>IFERROR(__xludf.DUMMYFUNCTION("""COMPUTED_VALUE"""),"獎狀")</f>
        <v>獎狀</v>
      </c>
      <c r="H169" s="9"/>
    </row>
    <row r="170">
      <c r="A170" s="13" t="s">
        <v>11</v>
      </c>
      <c r="B170" s="9" t="str">
        <f>IFERROR(__xludf.DUMMYFUNCTION("""COMPUTED_VALUE"""),"林O維")</f>
        <v>林O維</v>
      </c>
      <c r="C170" s="9" t="str">
        <f>IFERROR(__xludf.DUMMYFUNCTION("""COMPUTED_VALUE"""),"312*****suite.essh.kl.edu.tw")</f>
        <v>312*****suite.essh.kl.edu.tw</v>
      </c>
      <c r="D170" s="9" t="str">
        <f>IFERROR(__xludf.DUMMYFUNCTION("""COMPUTED_VALUE"""),"二信學校財團法人基隆市二信高級中學")</f>
        <v>二信學校財團法人基隆市二信高級中學</v>
      </c>
      <c r="E170" s="9" t="str">
        <f>IFERROR(__xludf.DUMMYFUNCTION("""COMPUTED_VALUE"""),"機械科")</f>
        <v>機械科</v>
      </c>
      <c r="F170" s="9" t="str">
        <f>IFERROR(__xludf.DUMMYFUNCTION("""COMPUTED_VALUE"""),"二年級")</f>
        <v>二年級</v>
      </c>
      <c r="G170" s="9" t="str">
        <f>IFERROR(__xludf.DUMMYFUNCTION("""COMPUTED_VALUE"""),"獎狀")</f>
        <v>獎狀</v>
      </c>
      <c r="H170" s="9"/>
    </row>
    <row r="171">
      <c r="A171" s="13" t="s">
        <v>11</v>
      </c>
      <c r="B171" s="9" t="str">
        <f>IFERROR(__xludf.DUMMYFUNCTION("""COMPUTED_VALUE"""),"吳O安")</f>
        <v>吳O安</v>
      </c>
      <c r="C171" s="9" t="str">
        <f>IFERROR(__xludf.DUMMYFUNCTION("""COMPUTED_VALUE"""),"312*****suite.essh.kl.edu.tw")</f>
        <v>312*****suite.essh.kl.edu.tw</v>
      </c>
      <c r="D171" s="9" t="str">
        <f>IFERROR(__xludf.DUMMYFUNCTION("""COMPUTED_VALUE"""),"二信學校財團法人基隆市二信高級中學")</f>
        <v>二信學校財團法人基隆市二信高級中學</v>
      </c>
      <c r="E171" s="9" t="str">
        <f>IFERROR(__xludf.DUMMYFUNCTION("""COMPUTED_VALUE"""),"機械科")</f>
        <v>機械科</v>
      </c>
      <c r="F171" s="9" t="str">
        <f>IFERROR(__xludf.DUMMYFUNCTION("""COMPUTED_VALUE"""),"二年級")</f>
        <v>二年級</v>
      </c>
      <c r="G171" s="9" t="str">
        <f>IFERROR(__xludf.DUMMYFUNCTION("""COMPUTED_VALUE"""),"獎狀")</f>
        <v>獎狀</v>
      </c>
      <c r="H171" s="9"/>
    </row>
    <row r="172">
      <c r="A172" s="13" t="s">
        <v>11</v>
      </c>
      <c r="B172" s="9" t="str">
        <f>IFERROR(__xludf.DUMMYFUNCTION("""COMPUTED_VALUE"""),"廖O猛")</f>
        <v>廖O猛</v>
      </c>
      <c r="C172" s="9" t="str">
        <f>IFERROR(__xludf.DUMMYFUNCTION("""COMPUTED_VALUE"""),"312*****suite.essh.kl.edu.tw")</f>
        <v>312*****suite.essh.kl.edu.tw</v>
      </c>
      <c r="D172" s="9" t="str">
        <f>IFERROR(__xludf.DUMMYFUNCTION("""COMPUTED_VALUE"""),"二信學校財團法人基隆市二信高級中學")</f>
        <v>二信學校財團法人基隆市二信高級中學</v>
      </c>
      <c r="E172" s="9" t="str">
        <f>IFERROR(__xludf.DUMMYFUNCTION("""COMPUTED_VALUE"""),"機械科")</f>
        <v>機械科</v>
      </c>
      <c r="F172" s="9" t="str">
        <f>IFERROR(__xludf.DUMMYFUNCTION("""COMPUTED_VALUE"""),"二年級")</f>
        <v>二年級</v>
      </c>
      <c r="G172" s="9" t="str">
        <f>IFERROR(__xludf.DUMMYFUNCTION("""COMPUTED_VALUE"""),"獎狀")</f>
        <v>獎狀</v>
      </c>
      <c r="H172" s="9"/>
    </row>
    <row r="173">
      <c r="A173" s="13" t="s">
        <v>11</v>
      </c>
      <c r="B173" s="9" t="str">
        <f>IFERROR(__xludf.DUMMYFUNCTION("""COMPUTED_VALUE"""),"葉O呈")</f>
        <v>葉O呈</v>
      </c>
      <c r="C173" s="9" t="str">
        <f>IFERROR(__xludf.DUMMYFUNCTION("""COMPUTED_VALUE"""),"312*****suite.essh.kl.edu.tw")</f>
        <v>312*****suite.essh.kl.edu.tw</v>
      </c>
      <c r="D173" s="9" t="str">
        <f>IFERROR(__xludf.DUMMYFUNCTION("""COMPUTED_VALUE"""),"二信學校財團法人基隆市二信高級中學")</f>
        <v>二信學校財團法人基隆市二信高級中學</v>
      </c>
      <c r="E173" s="9" t="str">
        <f>IFERROR(__xludf.DUMMYFUNCTION("""COMPUTED_VALUE"""),"機械科")</f>
        <v>機械科</v>
      </c>
      <c r="F173" s="9" t="str">
        <f>IFERROR(__xludf.DUMMYFUNCTION("""COMPUTED_VALUE"""),"二年級")</f>
        <v>二年級</v>
      </c>
      <c r="G173" s="9" t="str">
        <f>IFERROR(__xludf.DUMMYFUNCTION("""COMPUTED_VALUE"""),"獎狀")</f>
        <v>獎狀</v>
      </c>
      <c r="H173" s="9"/>
    </row>
    <row r="174">
      <c r="A174" s="13" t="s">
        <v>11</v>
      </c>
      <c r="B174" s="9" t="str">
        <f>IFERROR(__xludf.DUMMYFUNCTION("""COMPUTED_VALUE"""),"王O愷")</f>
        <v>王O愷</v>
      </c>
      <c r="C174" s="9" t="str">
        <f>IFERROR(__xludf.DUMMYFUNCTION("""COMPUTED_VALUE"""),"312*****suite.essh.kl.edu.tw")</f>
        <v>312*****suite.essh.kl.edu.tw</v>
      </c>
      <c r="D174" s="9" t="str">
        <f>IFERROR(__xludf.DUMMYFUNCTION("""COMPUTED_VALUE"""),"二信學校財團法人基隆市二信高級中學")</f>
        <v>二信學校財團法人基隆市二信高級中學</v>
      </c>
      <c r="E174" s="9" t="str">
        <f>IFERROR(__xludf.DUMMYFUNCTION("""COMPUTED_VALUE"""),"機械科")</f>
        <v>機械科</v>
      </c>
      <c r="F174" s="9" t="str">
        <f>IFERROR(__xludf.DUMMYFUNCTION("""COMPUTED_VALUE"""),"二年級")</f>
        <v>二年級</v>
      </c>
      <c r="G174" s="9" t="str">
        <f>IFERROR(__xludf.DUMMYFUNCTION("""COMPUTED_VALUE"""),"獎狀")</f>
        <v>獎狀</v>
      </c>
      <c r="H174" s="9"/>
    </row>
    <row r="175">
      <c r="A175" s="13" t="s">
        <v>11</v>
      </c>
      <c r="B175" s="9" t="str">
        <f>IFERROR(__xludf.DUMMYFUNCTION("""COMPUTED_VALUE"""),"邱O辰")</f>
        <v>邱O辰</v>
      </c>
      <c r="C175" s="9" t="str">
        <f>IFERROR(__xludf.DUMMYFUNCTION("""COMPUTED_VALUE"""),"312*****suite.essh.kl.edu.tw")</f>
        <v>312*****suite.essh.kl.edu.tw</v>
      </c>
      <c r="D175" s="9" t="str">
        <f>IFERROR(__xludf.DUMMYFUNCTION("""COMPUTED_VALUE"""),"二信學校財團法人基隆市二信高級中學")</f>
        <v>二信學校財團法人基隆市二信高級中學</v>
      </c>
      <c r="E175" s="9" t="str">
        <f>IFERROR(__xludf.DUMMYFUNCTION("""COMPUTED_VALUE"""),"機械科")</f>
        <v>機械科</v>
      </c>
      <c r="F175" s="9" t="str">
        <f>IFERROR(__xludf.DUMMYFUNCTION("""COMPUTED_VALUE"""),"二年級")</f>
        <v>二年級</v>
      </c>
      <c r="G175" s="9" t="str">
        <f>IFERROR(__xludf.DUMMYFUNCTION("""COMPUTED_VALUE"""),"獎狀")</f>
        <v>獎狀</v>
      </c>
      <c r="H175" s="9"/>
    </row>
    <row r="176">
      <c r="A176" s="13" t="s">
        <v>11</v>
      </c>
      <c r="B176" s="9" t="str">
        <f>IFERROR(__xludf.DUMMYFUNCTION("""COMPUTED_VALUE"""),"歐O嘉")</f>
        <v>歐O嘉</v>
      </c>
      <c r="C176" s="9" t="str">
        <f>IFERROR(__xludf.DUMMYFUNCTION("""COMPUTED_VALUE"""),"ouo*****9@gmail.com")</f>
        <v>ouo*****9@gmail.com</v>
      </c>
      <c r="D176" s="9" t="str">
        <f>IFERROR(__xludf.DUMMYFUNCTION("""COMPUTED_VALUE"""),"國立基隆高級商工職業學校")</f>
        <v>國立基隆高級商工職業學校</v>
      </c>
      <c r="E176" s="9" t="str">
        <f>IFERROR(__xludf.DUMMYFUNCTION("""COMPUTED_VALUE"""),"商經科")</f>
        <v>商經科</v>
      </c>
      <c r="F176" s="9" t="str">
        <f>IFERROR(__xludf.DUMMYFUNCTION("""COMPUTED_VALUE"""),"二年級")</f>
        <v>二年級</v>
      </c>
      <c r="G176" s="9" t="str">
        <f>IFERROR(__xludf.DUMMYFUNCTION("""COMPUTED_VALUE"""),"獎狀")</f>
        <v>獎狀</v>
      </c>
      <c r="H176" s="9"/>
    </row>
    <row r="177">
      <c r="A177" s="13" t="s">
        <v>11</v>
      </c>
      <c r="B177" s="9" t="str">
        <f>IFERROR(__xludf.DUMMYFUNCTION("""COMPUTED_VALUE"""),"劉O瑄")</f>
        <v>劉O瑄</v>
      </c>
      <c r="C177" s="9" t="str">
        <f>IFERROR(__xludf.DUMMYFUNCTION("""COMPUTED_VALUE"""),"sc1*****30@gmail.com")</f>
        <v>sc1*****30@gmail.com</v>
      </c>
      <c r="D177" s="9" t="str">
        <f>IFERROR(__xludf.DUMMYFUNCTION("""COMPUTED_VALUE"""),"國立基隆高級商工職業學校")</f>
        <v>國立基隆高級商工職業學校</v>
      </c>
      <c r="E177" s="9" t="str">
        <f>IFERROR(__xludf.DUMMYFUNCTION("""COMPUTED_VALUE"""),"會計科")</f>
        <v>會計科</v>
      </c>
      <c r="F177" s="9" t="str">
        <f>IFERROR(__xludf.DUMMYFUNCTION("""COMPUTED_VALUE"""),"二年級")</f>
        <v>二年級</v>
      </c>
      <c r="G177" s="9" t="str">
        <f>IFERROR(__xludf.DUMMYFUNCTION("""COMPUTED_VALUE"""),"獎狀")</f>
        <v>獎狀</v>
      </c>
      <c r="H177" s="9"/>
    </row>
    <row r="178">
      <c r="A178" s="13" t="s">
        <v>11</v>
      </c>
      <c r="B178" s="9" t="str">
        <f>IFERROR(__xludf.DUMMYFUNCTION("""COMPUTED_VALUE"""),"林O恩")</f>
        <v>林O恩</v>
      </c>
      <c r="C178" s="9" t="str">
        <f>IFERROR(__xludf.DUMMYFUNCTION("""COMPUTED_VALUE"""),"y09*****838@gmail.com")</f>
        <v>y09*****838@gmail.com</v>
      </c>
      <c r="D178" s="9" t="str">
        <f>IFERROR(__xludf.DUMMYFUNCTION("""COMPUTED_VALUE"""),"國立基隆高級商工職業學校")</f>
        <v>國立基隆高級商工職業學校</v>
      </c>
      <c r="E178" s="9" t="str">
        <f>IFERROR(__xludf.DUMMYFUNCTION("""COMPUTED_VALUE"""),"會計科")</f>
        <v>會計科</v>
      </c>
      <c r="F178" s="9" t="str">
        <f>IFERROR(__xludf.DUMMYFUNCTION("""COMPUTED_VALUE"""),"二年級")</f>
        <v>二年級</v>
      </c>
      <c r="G178" s="9" t="str">
        <f>IFERROR(__xludf.DUMMYFUNCTION("""COMPUTED_VALUE"""),"■商品卡$200")</f>
        <v>■商品卡$200</v>
      </c>
      <c r="H178" s="9"/>
    </row>
    <row r="179">
      <c r="A179" s="13" t="s">
        <v>11</v>
      </c>
      <c r="B179" s="9" t="str">
        <f>IFERROR(__xludf.DUMMYFUNCTION("""COMPUTED_VALUE"""),"蔡O俞")</f>
        <v>蔡O俞</v>
      </c>
      <c r="C179" s="9" t="str">
        <f>IFERROR(__xludf.DUMMYFUNCTION("""COMPUTED_VALUE"""),"cxi*****2@gmail.com")</f>
        <v>cxi*****2@gmail.com</v>
      </c>
      <c r="D179" s="9" t="str">
        <f>IFERROR(__xludf.DUMMYFUNCTION("""COMPUTED_VALUE"""),"國立基隆高級商工職業學校")</f>
        <v>國立基隆高級商工職業學校</v>
      </c>
      <c r="E179" s="9" t="str">
        <f>IFERROR(__xludf.DUMMYFUNCTION("""COMPUTED_VALUE"""),"會計科")</f>
        <v>會計科</v>
      </c>
      <c r="F179" s="9" t="str">
        <f>IFERROR(__xludf.DUMMYFUNCTION("""COMPUTED_VALUE"""),"二年級")</f>
        <v>二年級</v>
      </c>
      <c r="G179" s="9" t="str">
        <f>IFERROR(__xludf.DUMMYFUNCTION("""COMPUTED_VALUE"""),"獎狀")</f>
        <v>獎狀</v>
      </c>
      <c r="H179" s="9"/>
    </row>
    <row r="180">
      <c r="A180" s="13" t="s">
        <v>11</v>
      </c>
      <c r="B180" s="9" t="str">
        <f>IFERROR(__xludf.DUMMYFUNCTION("""COMPUTED_VALUE"""),"方O琦")</f>
        <v>方O琦</v>
      </c>
      <c r="C180" s="9" t="str">
        <f>IFERROR(__xludf.DUMMYFUNCTION("""COMPUTED_VALUE"""),"fan*****i8@gmail.com")</f>
        <v>fan*****i8@gmail.com</v>
      </c>
      <c r="D180" s="9" t="str">
        <f>IFERROR(__xludf.DUMMYFUNCTION("""COMPUTED_VALUE"""),"國立基隆高級商工職業學校")</f>
        <v>國立基隆高級商工職業學校</v>
      </c>
      <c r="E180" s="9" t="str">
        <f>IFERROR(__xludf.DUMMYFUNCTION("""COMPUTED_VALUE"""),"會計科")</f>
        <v>會計科</v>
      </c>
      <c r="F180" s="9" t="str">
        <f>IFERROR(__xludf.DUMMYFUNCTION("""COMPUTED_VALUE"""),"二年級")</f>
        <v>二年級</v>
      </c>
      <c r="G180" s="9" t="str">
        <f>IFERROR(__xludf.DUMMYFUNCTION("""COMPUTED_VALUE"""),"獎狀")</f>
        <v>獎狀</v>
      </c>
      <c r="H180" s="9"/>
    </row>
    <row r="181">
      <c r="A181" s="13" t="s">
        <v>11</v>
      </c>
      <c r="B181" s="9" t="str">
        <f>IFERROR(__xludf.DUMMYFUNCTION("""COMPUTED_VALUE"""),"莊O妤")</f>
        <v>莊O妤</v>
      </c>
      <c r="C181" s="9" t="str">
        <f>IFERROR(__xludf.DUMMYFUNCTION("""COMPUTED_VALUE"""),"zcy*****2@gmail.com")</f>
        <v>zcy*****2@gmail.com</v>
      </c>
      <c r="D181" s="9" t="str">
        <f>IFERROR(__xludf.DUMMYFUNCTION("""COMPUTED_VALUE"""),"國立基隆高級商工職業學校")</f>
        <v>國立基隆高級商工職業學校</v>
      </c>
      <c r="E181" s="9" t="str">
        <f>IFERROR(__xludf.DUMMYFUNCTION("""COMPUTED_VALUE"""),"會計科")</f>
        <v>會計科</v>
      </c>
      <c r="F181" s="9" t="str">
        <f>IFERROR(__xludf.DUMMYFUNCTION("""COMPUTED_VALUE"""),"二年級")</f>
        <v>二年級</v>
      </c>
      <c r="G181" s="9" t="str">
        <f>IFERROR(__xludf.DUMMYFUNCTION("""COMPUTED_VALUE"""),"獎狀")</f>
        <v>獎狀</v>
      </c>
      <c r="H181" s="9"/>
    </row>
    <row r="182">
      <c r="A182" s="13" t="s">
        <v>11</v>
      </c>
      <c r="B182" s="9" t="str">
        <f>IFERROR(__xludf.DUMMYFUNCTION("""COMPUTED_VALUE"""),"陳O妘")</f>
        <v>陳O妘</v>
      </c>
      <c r="C182" s="9" t="str">
        <f>IFERROR(__xludf.DUMMYFUNCTION("""COMPUTED_VALUE"""),"sam*****3@apps.ntpc.edu.tw")</f>
        <v>sam*****3@apps.ntpc.edu.tw</v>
      </c>
      <c r="D182" s="9" t="str">
        <f>IFERROR(__xludf.DUMMYFUNCTION("""COMPUTED_VALUE"""),"新北市立樟樹國際實創高級中等學校")</f>
        <v>新北市立樟樹國際實創高級中等學校</v>
      </c>
      <c r="E182" s="9" t="str">
        <f>IFERROR(__xludf.DUMMYFUNCTION("""COMPUTED_VALUE"""),"多媒體動畫科")</f>
        <v>多媒體動畫科</v>
      </c>
      <c r="F182" s="9" t="str">
        <f>IFERROR(__xludf.DUMMYFUNCTION("""COMPUTED_VALUE"""),"二年級")</f>
        <v>二年級</v>
      </c>
      <c r="G182" s="9" t="str">
        <f>IFERROR(__xludf.DUMMYFUNCTION("""COMPUTED_VALUE"""),"■商品卡$200")</f>
        <v>■商品卡$200</v>
      </c>
      <c r="H182" s="9"/>
    </row>
    <row r="183">
      <c r="A183" s="13" t="s">
        <v>11</v>
      </c>
      <c r="B183" s="9" t="str">
        <f>IFERROR(__xludf.DUMMYFUNCTION("""COMPUTED_VALUE"""),"丁O潼")</f>
        <v>丁O潼</v>
      </c>
      <c r="C183" s="9" t="str">
        <f>IFERROR(__xludf.DUMMYFUNCTION("""COMPUTED_VALUE"""),"110*****@wlgsh.tp.edu.tw")</f>
        <v>110*****@wlgsh.tp.edu.tw</v>
      </c>
      <c r="D183" s="9" t="str">
        <f>IFERROR(__xludf.DUMMYFUNCTION("""COMPUTED_VALUE"""),"新北市立瑞芳高級工業職業學校")</f>
        <v>新北市立瑞芳高級工業職業學校</v>
      </c>
      <c r="E183" s="9" t="str">
        <f>IFERROR(__xludf.DUMMYFUNCTION("""COMPUTED_VALUE"""),"測繪科")</f>
        <v>測繪科</v>
      </c>
      <c r="F183" s="9" t="str">
        <f>IFERROR(__xludf.DUMMYFUNCTION("""COMPUTED_VALUE"""),"二年級")</f>
        <v>二年級</v>
      </c>
      <c r="G183" s="9" t="str">
        <f>IFERROR(__xludf.DUMMYFUNCTION("""COMPUTED_VALUE"""),"獎狀")</f>
        <v>獎狀</v>
      </c>
      <c r="H183" s="9"/>
    </row>
    <row r="184">
      <c r="A184" s="13" t="s">
        <v>11</v>
      </c>
      <c r="B184" s="9" t="str">
        <f>IFERROR(__xludf.DUMMYFUNCTION("""COMPUTED_VALUE"""),"簡O偉")</f>
        <v>簡O偉</v>
      </c>
      <c r="C184" s="9" t="str">
        <f>IFERROR(__xludf.DUMMYFUNCTION("""COMPUTED_VALUE"""),"rfs*****2@apps.ntpc.edu.tw")</f>
        <v>rfs*****2@apps.ntpc.edu.tw</v>
      </c>
      <c r="D184" s="9" t="str">
        <f>IFERROR(__xludf.DUMMYFUNCTION("""COMPUTED_VALUE"""),"新北市立瑞芳高級工業職業學校")</f>
        <v>新北市立瑞芳高級工業職業學校</v>
      </c>
      <c r="E184" s="9" t="str">
        <f>IFERROR(__xludf.DUMMYFUNCTION("""COMPUTED_VALUE"""),"測繪科")</f>
        <v>測繪科</v>
      </c>
      <c r="F184" s="9" t="str">
        <f>IFERROR(__xludf.DUMMYFUNCTION("""COMPUTED_VALUE"""),"二年級")</f>
        <v>二年級</v>
      </c>
      <c r="G184" s="9" t="str">
        <f>IFERROR(__xludf.DUMMYFUNCTION("""COMPUTED_VALUE"""),"獎狀")</f>
        <v>獎狀</v>
      </c>
      <c r="H184" s="9"/>
    </row>
    <row r="185">
      <c r="A185" s="13" t="s">
        <v>11</v>
      </c>
      <c r="B185" s="9" t="str">
        <f>IFERROR(__xludf.DUMMYFUNCTION("""COMPUTED_VALUE"""),"史O南")</f>
        <v>史O南</v>
      </c>
      <c r="C185" s="9" t="str">
        <f>IFERROR(__xludf.DUMMYFUNCTION("""COMPUTED_VALUE"""),"sdn*****apps.ntpc.edu.tw")</f>
        <v>sdn*****apps.ntpc.edu.tw</v>
      </c>
      <c r="D185" s="9" t="str">
        <f>IFERROR(__xludf.DUMMYFUNCTION("""COMPUTED_VALUE"""),"新北市立瑞芳高級工業職業學校")</f>
        <v>新北市立瑞芳高級工業職業學校</v>
      </c>
      <c r="E185" s="9" t="str">
        <f>IFERROR(__xludf.DUMMYFUNCTION("""COMPUTED_VALUE"""),"測繪科")</f>
        <v>測繪科</v>
      </c>
      <c r="F185" s="9" t="str">
        <f>IFERROR(__xludf.DUMMYFUNCTION("""COMPUTED_VALUE"""),"二年級")</f>
        <v>二年級</v>
      </c>
      <c r="G185" s="9" t="str">
        <f>IFERROR(__xludf.DUMMYFUNCTION("""COMPUTED_VALUE"""),"■商品卡$200")</f>
        <v>■商品卡$200</v>
      </c>
      <c r="H185" s="9"/>
    </row>
    <row r="186">
      <c r="A186" s="13" t="s">
        <v>11</v>
      </c>
      <c r="B186" s="9" t="str">
        <f>IFERROR(__xludf.DUMMYFUNCTION("""COMPUTED_VALUE"""),"洪O俊")</f>
        <v>洪O俊</v>
      </c>
      <c r="C186" s="9" t="str">
        <f>IFERROR(__xludf.DUMMYFUNCTION("""COMPUTED_VALUE"""),"hz6*****@gmail.com")</f>
        <v>hz6*****@gmail.com</v>
      </c>
      <c r="D186" s="9" t="str">
        <f>IFERROR(__xludf.DUMMYFUNCTION("""COMPUTED_VALUE"""),"新北市立瑞芳高級工業職業學校")</f>
        <v>新北市立瑞芳高級工業職業學校</v>
      </c>
      <c r="E186" s="9" t="str">
        <f>IFERROR(__xludf.DUMMYFUNCTION("""COMPUTED_VALUE"""),"測繪科")</f>
        <v>測繪科</v>
      </c>
      <c r="F186" s="9" t="str">
        <f>IFERROR(__xludf.DUMMYFUNCTION("""COMPUTED_VALUE"""),"二年級")</f>
        <v>二年級</v>
      </c>
      <c r="G186" s="9" t="str">
        <f>IFERROR(__xludf.DUMMYFUNCTION("""COMPUTED_VALUE"""),"獎狀")</f>
        <v>獎狀</v>
      </c>
      <c r="H186" s="9"/>
    </row>
    <row r="187">
      <c r="A187" s="13" t="s">
        <v>11</v>
      </c>
      <c r="B187" s="9" t="str">
        <f>IFERROR(__xludf.DUMMYFUNCTION("""COMPUTED_VALUE"""),"張O傑")</f>
        <v>張O傑</v>
      </c>
      <c r="C187" s="9" t="str">
        <f>IFERROR(__xludf.DUMMYFUNCTION("""COMPUTED_VALUE"""),"wz4*****@gmail.com")</f>
        <v>wz4*****@gmail.com</v>
      </c>
      <c r="D187" s="9" t="str">
        <f>IFERROR(__xludf.DUMMYFUNCTION("""COMPUTED_VALUE"""),"新北市立瑞芳高級工業職業學校")</f>
        <v>新北市立瑞芳高級工業職業學校</v>
      </c>
      <c r="E187" s="9" t="str">
        <f>IFERROR(__xludf.DUMMYFUNCTION("""COMPUTED_VALUE"""),"測繪科")</f>
        <v>測繪科</v>
      </c>
      <c r="F187" s="9" t="str">
        <f>IFERROR(__xludf.DUMMYFUNCTION("""COMPUTED_VALUE"""),"二年級")</f>
        <v>二年級</v>
      </c>
      <c r="G187" s="9" t="str">
        <f>IFERROR(__xludf.DUMMYFUNCTION("""COMPUTED_VALUE"""),"■商品卡$200")</f>
        <v>■商品卡$200</v>
      </c>
      <c r="H187" s="9"/>
    </row>
    <row r="188">
      <c r="A188" s="13" t="s">
        <v>11</v>
      </c>
      <c r="B188" s="9" t="str">
        <f>IFERROR(__xludf.DUMMYFUNCTION("""COMPUTED_VALUE"""),"林O宥")</f>
        <v>林O宥</v>
      </c>
      <c r="C188" s="9" t="str">
        <f>IFERROR(__xludf.DUMMYFUNCTION("""COMPUTED_VALUE"""),"pp2*****09@gmail.com")</f>
        <v>pp2*****09@gmail.com</v>
      </c>
      <c r="D188" s="9" t="str">
        <f>IFERROR(__xludf.DUMMYFUNCTION("""COMPUTED_VALUE"""),"新北市立瑞芳高級工業職業學校")</f>
        <v>新北市立瑞芳高級工業職業學校</v>
      </c>
      <c r="E188" s="9" t="str">
        <f>IFERROR(__xludf.DUMMYFUNCTION("""COMPUTED_VALUE"""),"測繪科")</f>
        <v>測繪科</v>
      </c>
      <c r="F188" s="9" t="str">
        <f>IFERROR(__xludf.DUMMYFUNCTION("""COMPUTED_VALUE"""),"二年級")</f>
        <v>二年級</v>
      </c>
      <c r="G188" s="9" t="str">
        <f>IFERROR(__xludf.DUMMYFUNCTION("""COMPUTED_VALUE"""),"獎狀")</f>
        <v>獎狀</v>
      </c>
      <c r="H188" s="9"/>
    </row>
    <row r="189">
      <c r="A189" s="13" t="s">
        <v>11</v>
      </c>
      <c r="B189" s="9" t="str">
        <f>IFERROR(__xludf.DUMMYFUNCTION("""COMPUTED_VALUE"""),"蘇O芸")</f>
        <v>蘇O芸</v>
      </c>
      <c r="C189" s="9" t="str">
        <f>IFERROR(__xludf.DUMMYFUNCTION("""COMPUTED_VALUE"""),"sb6*****m.kl.edu.tw")</f>
        <v>sb6*****m.kl.edu.tw</v>
      </c>
      <c r="D189" s="9" t="str">
        <f>IFERROR(__xludf.DUMMYFUNCTION("""COMPUTED_VALUE"""),"新北市立瑞芳高級工業職業學校")</f>
        <v>新北市立瑞芳高級工業職業學校</v>
      </c>
      <c r="E189" s="9" t="str">
        <f>IFERROR(__xludf.DUMMYFUNCTION("""COMPUTED_VALUE"""),"測繪科")</f>
        <v>測繪科</v>
      </c>
      <c r="F189" s="9" t="str">
        <f>IFERROR(__xludf.DUMMYFUNCTION("""COMPUTED_VALUE"""),"二年級")</f>
        <v>二年級</v>
      </c>
      <c r="G189" s="9" t="str">
        <f>IFERROR(__xludf.DUMMYFUNCTION("""COMPUTED_VALUE"""),"獎狀")</f>
        <v>獎狀</v>
      </c>
      <c r="H189" s="9"/>
    </row>
    <row r="190">
      <c r="A190" s="13" t="s">
        <v>11</v>
      </c>
      <c r="B190" s="9" t="str">
        <f>IFERROR(__xludf.DUMMYFUNCTION("""COMPUTED_VALUE"""),"蔡O軒")</f>
        <v>蔡O軒</v>
      </c>
      <c r="C190" s="9" t="str">
        <f>IFERROR(__xludf.DUMMYFUNCTION("""COMPUTED_VALUE"""),"rt1*****apps.ntpc.edu.tw")</f>
        <v>rt1*****apps.ntpc.edu.tw</v>
      </c>
      <c r="D190" s="9" t="str">
        <f>IFERROR(__xludf.DUMMYFUNCTION("""COMPUTED_VALUE"""),"新北市立瑞芳高級工業職業學校")</f>
        <v>新北市立瑞芳高級工業職業學校</v>
      </c>
      <c r="E190" s="9" t="str">
        <f>IFERROR(__xludf.DUMMYFUNCTION("""COMPUTED_VALUE"""),"測繪科")</f>
        <v>測繪科</v>
      </c>
      <c r="F190" s="9" t="str">
        <f>IFERROR(__xludf.DUMMYFUNCTION("""COMPUTED_VALUE"""),"二年級")</f>
        <v>二年級</v>
      </c>
      <c r="G190" s="9" t="str">
        <f>IFERROR(__xludf.DUMMYFUNCTION("""COMPUTED_VALUE"""),"獎狀")</f>
        <v>獎狀</v>
      </c>
      <c r="H190" s="9"/>
    </row>
    <row r="191">
      <c r="A191" s="13" t="s">
        <v>11</v>
      </c>
      <c r="B191" s="9" t="str">
        <f>IFERROR(__xludf.DUMMYFUNCTION("""COMPUTED_VALUE"""),"陳O臻")</f>
        <v>陳O臻</v>
      </c>
      <c r="C191" s="9" t="str">
        <f>IFERROR(__xludf.DUMMYFUNCTION("""COMPUTED_VALUE"""),"7zc*****mail.com")</f>
        <v>7zc*****mail.com</v>
      </c>
      <c r="D191" s="9" t="str">
        <f>IFERROR(__xludf.DUMMYFUNCTION("""COMPUTED_VALUE"""),"新北市立瑞芳高級工業職業學校")</f>
        <v>新北市立瑞芳高級工業職業學校</v>
      </c>
      <c r="E191" s="9" t="str">
        <f>IFERROR(__xludf.DUMMYFUNCTION("""COMPUTED_VALUE"""),"測繪科")</f>
        <v>測繪科</v>
      </c>
      <c r="F191" s="9" t="str">
        <f>IFERROR(__xludf.DUMMYFUNCTION("""COMPUTED_VALUE"""),"二年級")</f>
        <v>二年級</v>
      </c>
      <c r="G191" s="9" t="str">
        <f>IFERROR(__xludf.DUMMYFUNCTION("""COMPUTED_VALUE"""),"獎狀")</f>
        <v>獎狀</v>
      </c>
      <c r="H191" s="9"/>
    </row>
    <row r="192">
      <c r="A192" s="13" t="s">
        <v>11</v>
      </c>
      <c r="B192" s="9" t="str">
        <f>IFERROR(__xludf.DUMMYFUNCTION("""COMPUTED_VALUE"""),"潘O宇")</f>
        <v>潘O宇</v>
      </c>
      <c r="C192" s="9" t="str">
        <f>IFERROR(__xludf.DUMMYFUNCTION("""COMPUTED_VALUE"""),"pan*****8@gmail.com")</f>
        <v>pan*****8@gmail.com</v>
      </c>
      <c r="D192" s="9" t="str">
        <f>IFERROR(__xludf.DUMMYFUNCTION("""COMPUTED_VALUE"""),"新北市立瑞芳高級工業職業學校")</f>
        <v>新北市立瑞芳高級工業職業學校</v>
      </c>
      <c r="E192" s="9" t="str">
        <f>IFERROR(__xludf.DUMMYFUNCTION("""COMPUTED_VALUE"""),"測繪科")</f>
        <v>測繪科</v>
      </c>
      <c r="F192" s="9" t="str">
        <f>IFERROR(__xludf.DUMMYFUNCTION("""COMPUTED_VALUE"""),"二年級")</f>
        <v>二年級</v>
      </c>
      <c r="G192" s="9" t="str">
        <f>IFERROR(__xludf.DUMMYFUNCTION("""COMPUTED_VALUE"""),"獎狀")</f>
        <v>獎狀</v>
      </c>
      <c r="H192" s="9"/>
    </row>
    <row r="193">
      <c r="A193" s="13" t="s">
        <v>11</v>
      </c>
      <c r="B193" s="9" t="str">
        <f>IFERROR(__xludf.DUMMYFUNCTION("""COMPUTED_VALUE"""),"辜O育")</f>
        <v>辜O育</v>
      </c>
      <c r="C193" s="9" t="str">
        <f>IFERROR(__xludf.DUMMYFUNCTION("""COMPUTED_VALUE"""),"rfs*****4@gmail.com")</f>
        <v>rfs*****4@gmail.com</v>
      </c>
      <c r="D193" s="9" t="str">
        <f>IFERROR(__xludf.DUMMYFUNCTION("""COMPUTED_VALUE"""),"新北市立瑞芳高級工業職業學校")</f>
        <v>新北市立瑞芳高級工業職業學校</v>
      </c>
      <c r="E193" s="9" t="str">
        <f>IFERROR(__xludf.DUMMYFUNCTION("""COMPUTED_VALUE"""),"測繪科")</f>
        <v>測繪科</v>
      </c>
      <c r="F193" s="9" t="str">
        <f>IFERROR(__xludf.DUMMYFUNCTION("""COMPUTED_VALUE"""),"二年級")</f>
        <v>二年級</v>
      </c>
      <c r="G193" s="9" t="str">
        <f>IFERROR(__xludf.DUMMYFUNCTION("""COMPUTED_VALUE"""),"獎狀")</f>
        <v>獎狀</v>
      </c>
      <c r="H193" s="9"/>
    </row>
    <row r="194">
      <c r="A194" s="13" t="s">
        <v>11</v>
      </c>
      <c r="B194" s="9" t="str">
        <f>IFERROR(__xludf.DUMMYFUNCTION("""COMPUTED_VALUE"""),"周O翔")</f>
        <v>周O翔</v>
      </c>
      <c r="C194" s="9" t="str">
        <f>IFERROR(__xludf.DUMMYFUNCTION("""COMPUTED_VALUE"""),"pol*****@apps.ntpc.edu.tw")</f>
        <v>pol*****@apps.ntpc.edu.tw</v>
      </c>
      <c r="D194" s="9" t="str">
        <f>IFERROR(__xludf.DUMMYFUNCTION("""COMPUTED_VALUE"""),"新北市立瑞芳高級工業職業學校")</f>
        <v>新北市立瑞芳高級工業職業學校</v>
      </c>
      <c r="E194" s="9" t="str">
        <f>IFERROR(__xludf.DUMMYFUNCTION("""COMPUTED_VALUE"""),"測繪科")</f>
        <v>測繪科</v>
      </c>
      <c r="F194" s="9" t="str">
        <f>IFERROR(__xludf.DUMMYFUNCTION("""COMPUTED_VALUE"""),"二年級")</f>
        <v>二年級</v>
      </c>
      <c r="G194" s="9" t="str">
        <f>IFERROR(__xludf.DUMMYFUNCTION("""COMPUTED_VALUE"""),"○商品卡$500")</f>
        <v>○商品卡$500</v>
      </c>
      <c r="H194" s="9"/>
    </row>
    <row r="195">
      <c r="A195" s="13" t="s">
        <v>11</v>
      </c>
      <c r="B195" s="9" t="str">
        <f>IFERROR(__xludf.DUMMYFUNCTION("""COMPUTED_VALUE"""),"謝O翰")</f>
        <v>謝O翰</v>
      </c>
      <c r="C195" s="9" t="str">
        <f>IFERROR(__xludf.DUMMYFUNCTION("""COMPUTED_VALUE"""),"f13*****7@gmail.com")</f>
        <v>f13*****7@gmail.com</v>
      </c>
      <c r="D195" s="9" t="str">
        <f>IFERROR(__xludf.DUMMYFUNCTION("""COMPUTED_VALUE"""),"新北市立瑞芳高級工業職業學校")</f>
        <v>新北市立瑞芳高級工業職業學校</v>
      </c>
      <c r="E195" s="9" t="str">
        <f>IFERROR(__xludf.DUMMYFUNCTION("""COMPUTED_VALUE"""),"測繪科")</f>
        <v>測繪科</v>
      </c>
      <c r="F195" s="9" t="str">
        <f>IFERROR(__xludf.DUMMYFUNCTION("""COMPUTED_VALUE"""),"二年級")</f>
        <v>二年級</v>
      </c>
      <c r="G195" s="9" t="str">
        <f>IFERROR(__xludf.DUMMYFUNCTION("""COMPUTED_VALUE"""),"獎狀")</f>
        <v>獎狀</v>
      </c>
      <c r="H195" s="9"/>
    </row>
    <row r="196">
      <c r="A196" s="13" t="s">
        <v>11</v>
      </c>
      <c r="B196" s="9" t="str">
        <f>IFERROR(__xludf.DUMMYFUNCTION("""COMPUTED_VALUE"""),"王O威")</f>
        <v>王O威</v>
      </c>
      <c r="C196" s="9" t="str">
        <f>IFERROR(__xludf.DUMMYFUNCTION("""COMPUTED_VALUE"""),"aa0*****0203@gmail.com")</f>
        <v>aa0*****0203@gmail.com</v>
      </c>
      <c r="D196" s="9" t="str">
        <f>IFERROR(__xludf.DUMMYFUNCTION("""COMPUTED_VALUE"""),"新北市立瑞芳高級工業職業學校")</f>
        <v>新北市立瑞芳高級工業職業學校</v>
      </c>
      <c r="E196" s="9" t="str">
        <f>IFERROR(__xludf.DUMMYFUNCTION("""COMPUTED_VALUE"""),"測繪科")</f>
        <v>測繪科</v>
      </c>
      <c r="F196" s="9" t="str">
        <f>IFERROR(__xludf.DUMMYFUNCTION("""COMPUTED_VALUE"""),"二年級")</f>
        <v>二年級</v>
      </c>
      <c r="G196" s="9" t="str">
        <f>IFERROR(__xludf.DUMMYFUNCTION("""COMPUTED_VALUE"""),"獎狀")</f>
        <v>獎狀</v>
      </c>
      <c r="H196" s="9"/>
    </row>
    <row r="197">
      <c r="A197" s="13" t="s">
        <v>11</v>
      </c>
      <c r="B197" s="9" t="str">
        <f>IFERROR(__xludf.DUMMYFUNCTION("""COMPUTED_VALUE"""),"陳O旭")</f>
        <v>陳O旭</v>
      </c>
      <c r="C197" s="9" t="str">
        <f>IFERROR(__xludf.DUMMYFUNCTION("""COMPUTED_VALUE"""),"a10*****apps.ntpc.edu.tw")</f>
        <v>a10*****apps.ntpc.edu.tw</v>
      </c>
      <c r="D197" s="9" t="str">
        <f>IFERROR(__xludf.DUMMYFUNCTION("""COMPUTED_VALUE"""),"新北市立瑞芳高級工業職業學校")</f>
        <v>新北市立瑞芳高級工業職業學校</v>
      </c>
      <c r="E197" s="9" t="str">
        <f>IFERROR(__xludf.DUMMYFUNCTION("""COMPUTED_VALUE"""),"電機科")</f>
        <v>電機科</v>
      </c>
      <c r="F197" s="9" t="str">
        <f>IFERROR(__xludf.DUMMYFUNCTION("""COMPUTED_VALUE"""),"二年級")</f>
        <v>二年級</v>
      </c>
      <c r="G197" s="9" t="str">
        <f>IFERROR(__xludf.DUMMYFUNCTION("""COMPUTED_VALUE"""),"獎狀")</f>
        <v>獎狀</v>
      </c>
      <c r="H197" s="9"/>
    </row>
    <row r="198">
      <c r="A198" s="13" t="s">
        <v>11</v>
      </c>
      <c r="B198" s="9" t="str">
        <f>IFERROR(__xludf.DUMMYFUNCTION("""COMPUTED_VALUE"""),"白O瑋")</f>
        <v>白O瑋</v>
      </c>
      <c r="C198" s="9" t="str">
        <f>IFERROR(__xludf.DUMMYFUNCTION("""COMPUTED_VALUE"""),"cce*****@apps.ntpc.edu.tw")</f>
        <v>cce*****@apps.ntpc.edu.tw</v>
      </c>
      <c r="D198" s="9" t="str">
        <f>IFERROR(__xludf.DUMMYFUNCTION("""COMPUTED_VALUE"""),"新北市立瑞芳高級工業職業學校")</f>
        <v>新北市立瑞芳高級工業職業學校</v>
      </c>
      <c r="E198" s="9" t="str">
        <f>IFERROR(__xludf.DUMMYFUNCTION("""COMPUTED_VALUE"""),"電機科")</f>
        <v>電機科</v>
      </c>
      <c r="F198" s="9" t="str">
        <f>IFERROR(__xludf.DUMMYFUNCTION("""COMPUTED_VALUE"""),"二年級")</f>
        <v>二年級</v>
      </c>
      <c r="G198" s="9" t="str">
        <f>IFERROR(__xludf.DUMMYFUNCTION("""COMPUTED_VALUE"""),"獎狀")</f>
        <v>獎狀</v>
      </c>
      <c r="H198" s="9"/>
    </row>
    <row r="199">
      <c r="A199" s="13" t="s">
        <v>11</v>
      </c>
      <c r="B199" s="9" t="str">
        <f>IFERROR(__xludf.DUMMYFUNCTION("""COMPUTED_VALUE"""),"楊O侑")</f>
        <v>楊O侑</v>
      </c>
      <c r="C199" s="9" t="str">
        <f>IFERROR(__xludf.DUMMYFUNCTION("""COMPUTED_VALUE"""),"jfp*****6@gmail.com")</f>
        <v>jfp*****6@gmail.com</v>
      </c>
      <c r="D199" s="9" t="str">
        <f>IFERROR(__xludf.DUMMYFUNCTION("""COMPUTED_VALUE"""),"新北市立瑞芳高級工業職業學校")</f>
        <v>新北市立瑞芳高級工業職業學校</v>
      </c>
      <c r="E199" s="9" t="str">
        <f>IFERROR(__xludf.DUMMYFUNCTION("""COMPUTED_VALUE"""),"電機科")</f>
        <v>電機科</v>
      </c>
      <c r="F199" s="9" t="str">
        <f>IFERROR(__xludf.DUMMYFUNCTION("""COMPUTED_VALUE"""),"二年級")</f>
        <v>二年級</v>
      </c>
      <c r="G199" s="9" t="str">
        <f>IFERROR(__xludf.DUMMYFUNCTION("""COMPUTED_VALUE"""),"獎狀")</f>
        <v>獎狀</v>
      </c>
      <c r="H199" s="9"/>
    </row>
    <row r="200">
      <c r="A200" s="13" t="s">
        <v>11</v>
      </c>
      <c r="B200" s="9" t="str">
        <f>IFERROR(__xludf.DUMMYFUNCTION("""COMPUTED_VALUE"""),"朱O緯")</f>
        <v>朱O緯</v>
      </c>
      <c r="C200" s="9" t="str">
        <f>IFERROR(__xludf.DUMMYFUNCTION("""COMPUTED_VALUE"""),"jac*****101@gmail.com")</f>
        <v>jac*****101@gmail.com</v>
      </c>
      <c r="D200" s="9" t="str">
        <f>IFERROR(__xludf.DUMMYFUNCTION("""COMPUTED_VALUE"""),"新北市立瑞芳高級工業職業學校")</f>
        <v>新北市立瑞芳高級工業職業學校</v>
      </c>
      <c r="E200" s="9" t="str">
        <f>IFERROR(__xludf.DUMMYFUNCTION("""COMPUTED_VALUE"""),"電機科")</f>
        <v>電機科</v>
      </c>
      <c r="F200" s="9" t="str">
        <f>IFERROR(__xludf.DUMMYFUNCTION("""COMPUTED_VALUE"""),"二年級")</f>
        <v>二年級</v>
      </c>
      <c r="G200" s="9" t="str">
        <f>IFERROR(__xludf.DUMMYFUNCTION("""COMPUTED_VALUE"""),"★商品卡$1000")</f>
        <v>★商品卡$1000</v>
      </c>
      <c r="H200" s="9"/>
    </row>
    <row r="201">
      <c r="A201" s="13" t="s">
        <v>11</v>
      </c>
      <c r="B201" s="9" t="str">
        <f>IFERROR(__xludf.DUMMYFUNCTION("""COMPUTED_VALUE"""),"王O丞")</f>
        <v>王O丞</v>
      </c>
      <c r="C201" s="9" t="str">
        <f>IFERROR(__xludf.DUMMYFUNCTION("""COMPUTED_VALUE"""),"eas*****1@apps.ntpc.edu.tw")</f>
        <v>eas*****1@apps.ntpc.edu.tw</v>
      </c>
      <c r="D201" s="9" t="str">
        <f>IFERROR(__xludf.DUMMYFUNCTION("""COMPUTED_VALUE"""),"新北市立瑞芳高級工業職業學校")</f>
        <v>新北市立瑞芳高級工業職業學校</v>
      </c>
      <c r="E201" s="9" t="str">
        <f>IFERROR(__xludf.DUMMYFUNCTION("""COMPUTED_VALUE"""),"電機科")</f>
        <v>電機科</v>
      </c>
      <c r="F201" s="9" t="str">
        <f>IFERROR(__xludf.DUMMYFUNCTION("""COMPUTED_VALUE"""),"二年級")</f>
        <v>二年級</v>
      </c>
      <c r="G201" s="9" t="str">
        <f>IFERROR(__xludf.DUMMYFUNCTION("""COMPUTED_VALUE"""),"■商品卡$200")</f>
        <v>■商品卡$200</v>
      </c>
      <c r="H201" s="9"/>
    </row>
    <row r="202">
      <c r="A202" s="13" t="s">
        <v>11</v>
      </c>
      <c r="B202" s="9" t="str">
        <f>IFERROR(__xludf.DUMMYFUNCTION("""COMPUTED_VALUE"""),"廖O賢")</f>
        <v>廖O賢</v>
      </c>
      <c r="C202" s="9" t="str">
        <f>IFERROR(__xludf.DUMMYFUNCTION("""COMPUTED_VALUE"""),"lia*****sien21@gmail.com")</f>
        <v>lia*****sien21@gmail.com</v>
      </c>
      <c r="D202" s="9" t="str">
        <f>IFERROR(__xludf.DUMMYFUNCTION("""COMPUTED_VALUE"""),"新北市立瑞芳高級工業職業學校")</f>
        <v>新北市立瑞芳高級工業職業學校</v>
      </c>
      <c r="E202" s="9" t="str">
        <f>IFERROR(__xludf.DUMMYFUNCTION("""COMPUTED_VALUE"""),"電機科")</f>
        <v>電機科</v>
      </c>
      <c r="F202" s="9" t="str">
        <f>IFERROR(__xludf.DUMMYFUNCTION("""COMPUTED_VALUE"""),"二年級")</f>
        <v>二年級</v>
      </c>
      <c r="G202" s="9" t="str">
        <f>IFERROR(__xludf.DUMMYFUNCTION("""COMPUTED_VALUE"""),"■商品卡$200")</f>
        <v>■商品卡$200</v>
      </c>
      <c r="H202" s="9"/>
    </row>
    <row r="203">
      <c r="A203" s="13" t="s">
        <v>11</v>
      </c>
      <c r="B203" s="9" t="str">
        <f>IFERROR(__xludf.DUMMYFUNCTION("""COMPUTED_VALUE"""),"邱O琪")</f>
        <v>邱O琪</v>
      </c>
      <c r="C203" s="9" t="str">
        <f>IFERROR(__xludf.DUMMYFUNCTION("""COMPUTED_VALUE"""),"jud*****24@apps.ntpc.edu.tw")</f>
        <v>jud*****24@apps.ntpc.edu.tw</v>
      </c>
      <c r="D203" s="9" t="str">
        <f>IFERROR(__xludf.DUMMYFUNCTION("""COMPUTED_VALUE"""),"新北市立瑞芳高級工業職業學校")</f>
        <v>新北市立瑞芳高級工業職業學校</v>
      </c>
      <c r="E203" s="9" t="str">
        <f>IFERROR(__xludf.DUMMYFUNCTION("""COMPUTED_VALUE"""),"應英科")</f>
        <v>應英科</v>
      </c>
      <c r="F203" s="9" t="str">
        <f>IFERROR(__xludf.DUMMYFUNCTION("""COMPUTED_VALUE"""),"二年級")</f>
        <v>二年級</v>
      </c>
      <c r="G203" s="9" t="str">
        <f>IFERROR(__xludf.DUMMYFUNCTION("""COMPUTED_VALUE"""),"獎狀")</f>
        <v>獎狀</v>
      </c>
      <c r="H203" s="11"/>
    </row>
    <row r="204">
      <c r="A204" s="13" t="s">
        <v>11</v>
      </c>
      <c r="B204" s="9" t="str">
        <f>IFERROR(__xludf.DUMMYFUNCTION("""COMPUTED_VALUE"""),"余O萱")</f>
        <v>余O萱</v>
      </c>
      <c r="C204" s="9" t="str">
        <f>IFERROR(__xludf.DUMMYFUNCTION("""COMPUTED_VALUE"""),"a10*****apps.ntpc.edu.tw")</f>
        <v>a10*****apps.ntpc.edu.tw</v>
      </c>
      <c r="D204" s="9" t="str">
        <f>IFERROR(__xludf.DUMMYFUNCTION("""COMPUTED_VALUE"""),"新北市立瑞芳高級工業職業學校")</f>
        <v>新北市立瑞芳高級工業職業學校</v>
      </c>
      <c r="E204" s="9" t="str">
        <f>IFERROR(__xludf.DUMMYFUNCTION("""COMPUTED_VALUE"""),"應英科")</f>
        <v>應英科</v>
      </c>
      <c r="F204" s="9" t="str">
        <f>IFERROR(__xludf.DUMMYFUNCTION("""COMPUTED_VALUE"""),"二年級")</f>
        <v>二年級</v>
      </c>
      <c r="G204" s="9" t="str">
        <f>IFERROR(__xludf.DUMMYFUNCTION("""COMPUTED_VALUE"""),"獎狀")</f>
        <v>獎狀</v>
      </c>
      <c r="H204" s="11"/>
    </row>
    <row r="205">
      <c r="A205" s="13" t="s">
        <v>11</v>
      </c>
      <c r="B205" s="9" t="str">
        <f>IFERROR(__xludf.DUMMYFUNCTION("""COMPUTED_VALUE"""),"郭O嘉")</f>
        <v>郭O嘉</v>
      </c>
      <c r="C205" s="9" t="str">
        <f>IFERROR(__xludf.DUMMYFUNCTION("""COMPUTED_VALUE"""),"max*****apps.ntpc.edu.tw")</f>
        <v>max*****apps.ntpc.edu.tw</v>
      </c>
      <c r="D205" s="9" t="str">
        <f>IFERROR(__xludf.DUMMYFUNCTION("""COMPUTED_VALUE"""),"新北市立瑞芳高級工業職業學校")</f>
        <v>新北市立瑞芳高級工業職業學校</v>
      </c>
      <c r="E205" s="9" t="str">
        <f>IFERROR(__xludf.DUMMYFUNCTION("""COMPUTED_VALUE"""),"應英科")</f>
        <v>應英科</v>
      </c>
      <c r="F205" s="9" t="str">
        <f>IFERROR(__xludf.DUMMYFUNCTION("""COMPUTED_VALUE"""),"二年級")</f>
        <v>二年級</v>
      </c>
      <c r="G205" s="9" t="str">
        <f>IFERROR(__xludf.DUMMYFUNCTION("""COMPUTED_VALUE"""),"獎狀")</f>
        <v>獎狀</v>
      </c>
      <c r="H205" s="11"/>
    </row>
    <row r="206">
      <c r="A206" s="13" t="s">
        <v>11</v>
      </c>
      <c r="B206" s="9" t="str">
        <f>IFERROR(__xludf.DUMMYFUNCTION("""COMPUTED_VALUE"""),"呂O湘")</f>
        <v>呂O湘</v>
      </c>
      <c r="C206" s="9" t="str">
        <f>IFERROR(__xludf.DUMMYFUNCTION("""COMPUTED_VALUE"""),"lyh*****apps.ntpc.edu.tw")</f>
        <v>lyh*****apps.ntpc.edu.tw</v>
      </c>
      <c r="D206" s="9" t="str">
        <f>IFERROR(__xludf.DUMMYFUNCTION("""COMPUTED_VALUE"""),"新北市立瑞芳高級工業職業學校")</f>
        <v>新北市立瑞芳高級工業職業學校</v>
      </c>
      <c r="E206" s="9" t="str">
        <f>IFERROR(__xludf.DUMMYFUNCTION("""COMPUTED_VALUE"""),"應英科")</f>
        <v>應英科</v>
      </c>
      <c r="F206" s="9" t="str">
        <f>IFERROR(__xludf.DUMMYFUNCTION("""COMPUTED_VALUE"""),"二年級")</f>
        <v>二年級</v>
      </c>
      <c r="G206" s="9" t="str">
        <f>IFERROR(__xludf.DUMMYFUNCTION("""COMPUTED_VALUE"""),"獎狀")</f>
        <v>獎狀</v>
      </c>
      <c r="H206" s="11"/>
    </row>
    <row r="207">
      <c r="A207" s="13" t="s">
        <v>11</v>
      </c>
      <c r="B207" s="9" t="str">
        <f>IFERROR(__xludf.DUMMYFUNCTION("""COMPUTED_VALUE"""),"柳O薰")</f>
        <v>柳O薰</v>
      </c>
      <c r="C207" s="9" t="str">
        <f>IFERROR(__xludf.DUMMYFUNCTION("""COMPUTED_VALUE"""),"xun*****002@apps.ntpc.edu.tw")</f>
        <v>xun*****002@apps.ntpc.edu.tw</v>
      </c>
      <c r="D207" s="9" t="str">
        <f>IFERROR(__xludf.DUMMYFUNCTION("""COMPUTED_VALUE"""),"新北市立瑞芳高級工業職業學校")</f>
        <v>新北市立瑞芳高級工業職業學校</v>
      </c>
      <c r="E207" s="9" t="str">
        <f>IFERROR(__xludf.DUMMYFUNCTION("""COMPUTED_VALUE"""),"應英科")</f>
        <v>應英科</v>
      </c>
      <c r="F207" s="9" t="str">
        <f>IFERROR(__xludf.DUMMYFUNCTION("""COMPUTED_VALUE"""),"二年級")</f>
        <v>二年級</v>
      </c>
      <c r="G207" s="9" t="str">
        <f>IFERROR(__xludf.DUMMYFUNCTION("""COMPUTED_VALUE"""),"獎狀")</f>
        <v>獎狀</v>
      </c>
      <c r="H207" s="11"/>
    </row>
    <row r="208">
      <c r="A208" s="13" t="s">
        <v>11</v>
      </c>
      <c r="B208" s="9" t="str">
        <f>IFERROR(__xludf.DUMMYFUNCTION("""COMPUTED_VALUE"""),"冷O沂")</f>
        <v>冷O沂</v>
      </c>
      <c r="C208" s="9" t="str">
        <f>IFERROR(__xludf.DUMMYFUNCTION("""COMPUTED_VALUE"""),"lpe*****96@apps.ntpc.edu.tw")</f>
        <v>lpe*****96@apps.ntpc.edu.tw</v>
      </c>
      <c r="D208" s="9" t="str">
        <f>IFERROR(__xludf.DUMMYFUNCTION("""COMPUTED_VALUE"""),"新北市立瑞芳高級工業職業學校")</f>
        <v>新北市立瑞芳高級工業職業學校</v>
      </c>
      <c r="E208" s="9" t="str">
        <f>IFERROR(__xludf.DUMMYFUNCTION("""COMPUTED_VALUE"""),"應英科")</f>
        <v>應英科</v>
      </c>
      <c r="F208" s="9" t="str">
        <f>IFERROR(__xludf.DUMMYFUNCTION("""COMPUTED_VALUE"""),"二年級")</f>
        <v>二年級</v>
      </c>
      <c r="G208" s="9" t="str">
        <f>IFERROR(__xludf.DUMMYFUNCTION("""COMPUTED_VALUE"""),"獎狀")</f>
        <v>獎狀</v>
      </c>
      <c r="H208" s="11"/>
    </row>
    <row r="209">
      <c r="A209" s="13" t="s">
        <v>11</v>
      </c>
      <c r="B209" s="9" t="str">
        <f>IFERROR(__xludf.DUMMYFUNCTION("""COMPUTED_VALUE"""),"黃O芬")</f>
        <v>黃O芬</v>
      </c>
      <c r="C209" s="9" t="str">
        <f>IFERROR(__xludf.DUMMYFUNCTION("""COMPUTED_VALUE"""),"lke*****3.ntpc@mail.edu.tw")</f>
        <v>lke*****3.ntpc@mail.edu.tw</v>
      </c>
      <c r="D209" s="9" t="str">
        <f>IFERROR(__xludf.DUMMYFUNCTION("""COMPUTED_VALUE"""),"新北市立瑞芳高級工業職業學校")</f>
        <v>新北市立瑞芳高級工業職業學校</v>
      </c>
      <c r="E209" s="9" t="str">
        <f>IFERROR(__xludf.DUMMYFUNCTION("""COMPUTED_VALUE"""),"體育班")</f>
        <v>體育班</v>
      </c>
      <c r="F209" s="9" t="str">
        <f>IFERROR(__xludf.DUMMYFUNCTION("""COMPUTED_VALUE"""),"三年級")</f>
        <v>三年級</v>
      </c>
      <c r="G209" s="9" t="str">
        <f>IFERROR(__xludf.DUMMYFUNCTION("""COMPUTED_VALUE"""),"獎狀")</f>
        <v>獎狀</v>
      </c>
      <c r="H209" s="9"/>
    </row>
    <row r="210">
      <c r="A210" s="13" t="s">
        <v>11</v>
      </c>
      <c r="B210" s="9" t="str">
        <f>IFERROR(__xludf.DUMMYFUNCTION("""COMPUTED_VALUE"""),"李O濬")</f>
        <v>李O濬</v>
      </c>
      <c r="C210" s="9" t="str">
        <f>IFERROR(__xludf.DUMMYFUNCTION("""COMPUTED_VALUE"""),"ece*****78@gmail.com")</f>
        <v>ece*****78@gmail.com</v>
      </c>
      <c r="D210" s="9" t="str">
        <f>IFERROR(__xludf.DUMMYFUNCTION("""COMPUTED_VALUE"""),"新北市立瑞芳高級工業職業學校")</f>
        <v>新北市立瑞芳高級工業職業學校</v>
      </c>
      <c r="E210" s="9" t="str">
        <f>IFERROR(__xludf.DUMMYFUNCTION("""COMPUTED_VALUE"""),"體育班")</f>
        <v>體育班</v>
      </c>
      <c r="F210" s="9" t="str">
        <f>IFERROR(__xludf.DUMMYFUNCTION("""COMPUTED_VALUE"""),"三年級")</f>
        <v>三年級</v>
      </c>
      <c r="G210" s="9" t="str">
        <f>IFERROR(__xludf.DUMMYFUNCTION("""COMPUTED_VALUE"""),"★商品卡$1000")</f>
        <v>★商品卡$1000</v>
      </c>
      <c r="H210" s="9"/>
    </row>
    <row r="211">
      <c r="A211" s="13" t="s">
        <v>11</v>
      </c>
      <c r="B211" s="9" t="str">
        <f>IFERROR(__xludf.DUMMYFUNCTION("""COMPUTED_VALUE"""),"陳O楷")</f>
        <v>陳O楷</v>
      </c>
      <c r="C211" s="9" t="str">
        <f>IFERROR(__xludf.DUMMYFUNCTION("""COMPUTED_VALUE"""),"gnt*****@gmail.com")</f>
        <v>gnt*****@gmail.com</v>
      </c>
      <c r="D211" s="9" t="str">
        <f>IFERROR(__xludf.DUMMYFUNCTION("""COMPUTED_VALUE"""),"新北市立瑞芳高級工業職業學校")</f>
        <v>新北市立瑞芳高級工業職業學校</v>
      </c>
      <c r="E211" s="9" t="str">
        <f>IFERROR(__xludf.DUMMYFUNCTION("""COMPUTED_VALUE"""),"體育班")</f>
        <v>體育班</v>
      </c>
      <c r="F211" s="9" t="str">
        <f>IFERROR(__xludf.DUMMYFUNCTION("""COMPUTED_VALUE"""),"三年級")</f>
        <v>三年級</v>
      </c>
      <c r="G211" s="9" t="str">
        <f>IFERROR(__xludf.DUMMYFUNCTION("""COMPUTED_VALUE"""),"獎狀")</f>
        <v>獎狀</v>
      </c>
      <c r="H211" s="9"/>
    </row>
    <row r="212">
      <c r="A212" s="13" t="s">
        <v>11</v>
      </c>
      <c r="B212" s="9" t="str">
        <f>IFERROR(__xludf.DUMMYFUNCTION("""COMPUTED_VALUE"""),"沈O宜")</f>
        <v>沈O宜</v>
      </c>
      <c r="C212" s="9" t="str">
        <f>IFERROR(__xludf.DUMMYFUNCTION("""COMPUTED_VALUE"""),"san*****218@apps.ntpc.edu.tw")</f>
        <v>san*****218@apps.ntpc.edu.tw</v>
      </c>
      <c r="D212" s="9" t="str">
        <f>IFERROR(__xludf.DUMMYFUNCTION("""COMPUTED_VALUE"""),"新北市立瑞芳高級工業職業學校")</f>
        <v>新北市立瑞芳高級工業職業學校</v>
      </c>
      <c r="E212" s="9" t="str">
        <f>IFERROR(__xludf.DUMMYFUNCTION("""COMPUTED_VALUE"""),"體育班")</f>
        <v>體育班</v>
      </c>
      <c r="F212" s="9" t="str">
        <f>IFERROR(__xludf.DUMMYFUNCTION("""COMPUTED_VALUE"""),"三年級")</f>
        <v>三年級</v>
      </c>
      <c r="G212" s="9" t="str">
        <f>IFERROR(__xludf.DUMMYFUNCTION("""COMPUTED_VALUE"""),"獎狀")</f>
        <v>獎狀</v>
      </c>
      <c r="H212" s="9"/>
    </row>
    <row r="213">
      <c r="A213" s="13" t="s">
        <v>11</v>
      </c>
      <c r="B213" s="9" t="str">
        <f>IFERROR(__xludf.DUMMYFUNCTION("""COMPUTED_VALUE"""),"廖O鴻")</f>
        <v>廖O鴻</v>
      </c>
      <c r="C213" s="9" t="str">
        <f>IFERROR(__xludf.DUMMYFUNCTION("""COMPUTED_VALUE"""),"Tim*****2@gmail.com")</f>
        <v>Tim*****2@gmail.com</v>
      </c>
      <c r="D213" s="9" t="str">
        <f>IFERROR(__xludf.DUMMYFUNCTION("""COMPUTED_VALUE"""),"新北市立新北高級工業職業學校")</f>
        <v>新北市立新北高級工業職業學校</v>
      </c>
      <c r="E213" s="9" t="str">
        <f>IFERROR(__xludf.DUMMYFUNCTION("""COMPUTED_VALUE"""),"資訊科")</f>
        <v>資訊科</v>
      </c>
      <c r="F213" s="9" t="str">
        <f>IFERROR(__xludf.DUMMYFUNCTION("""COMPUTED_VALUE"""),"一年級")</f>
        <v>一年級</v>
      </c>
      <c r="G213" s="9" t="str">
        <f>IFERROR(__xludf.DUMMYFUNCTION("""COMPUTED_VALUE"""),"獎狀")</f>
        <v>獎狀</v>
      </c>
      <c r="H213" s="11"/>
    </row>
    <row r="214">
      <c r="A214" s="13" t="s">
        <v>11</v>
      </c>
      <c r="B214" s="9" t="str">
        <f>IFERROR(__xludf.DUMMYFUNCTION("""COMPUTED_VALUE"""),"廖O琦")</f>
        <v>廖O琦</v>
      </c>
      <c r="C214" s="9" t="str">
        <f>IFERROR(__xludf.DUMMYFUNCTION("""COMPUTED_VALUE"""),"yuk*****@apps.ntpc.edu.tw")</f>
        <v>yuk*****@apps.ntpc.edu.tw</v>
      </c>
      <c r="D214" s="9" t="str">
        <f>IFERROR(__xludf.DUMMYFUNCTION("""COMPUTED_VALUE"""),"新北市立新北高級工業職業學校")</f>
        <v>新北市立新北高級工業職業學校</v>
      </c>
      <c r="E214" s="9" t="str">
        <f>IFERROR(__xludf.DUMMYFUNCTION("""COMPUTED_VALUE"""),"資訊科")</f>
        <v>資訊科</v>
      </c>
      <c r="F214" s="9" t="str">
        <f>IFERROR(__xludf.DUMMYFUNCTION("""COMPUTED_VALUE"""),"二年級")</f>
        <v>二年級</v>
      </c>
      <c r="G214" s="9" t="str">
        <f>IFERROR(__xludf.DUMMYFUNCTION("""COMPUTED_VALUE"""),"獎狀")</f>
        <v>獎狀</v>
      </c>
      <c r="H214" s="9"/>
    </row>
    <row r="215">
      <c r="A215" s="13" t="s">
        <v>11</v>
      </c>
      <c r="B215" s="9" t="str">
        <f>IFERROR(__xludf.DUMMYFUNCTION("""COMPUTED_VALUE"""),"曾O珺")</f>
        <v>曾O珺</v>
      </c>
      <c r="C215" s="9" t="str">
        <f>IFERROR(__xludf.DUMMYFUNCTION("""COMPUTED_VALUE"""),"ff2*****10@gmail.com")</f>
        <v>ff2*****10@gmail.com</v>
      </c>
      <c r="D215" s="9" t="str">
        <f>IFERROR(__xludf.DUMMYFUNCTION("""COMPUTED_VALUE"""),"新北市私立樹人高級家事商業職業學校")</f>
        <v>新北市私立樹人高級家事商業職業學校</v>
      </c>
      <c r="E215" s="9" t="str">
        <f>IFERROR(__xludf.DUMMYFUNCTION("""COMPUTED_VALUE"""),"幼保科")</f>
        <v>幼保科</v>
      </c>
      <c r="F215" s="9" t="str">
        <f>IFERROR(__xludf.DUMMYFUNCTION("""COMPUTED_VALUE"""),"一年級")</f>
        <v>一年級</v>
      </c>
      <c r="G215" s="9" t="str">
        <f>IFERROR(__xludf.DUMMYFUNCTION("""COMPUTED_VALUE"""),"獎狀")</f>
        <v>獎狀</v>
      </c>
      <c r="H215" s="9"/>
    </row>
    <row r="216">
      <c r="A216" s="13" t="s">
        <v>11</v>
      </c>
      <c r="B216" s="9" t="str">
        <f>IFERROR(__xludf.DUMMYFUNCTION("""COMPUTED_VALUE"""),"劉O豪")</f>
        <v>劉O豪</v>
      </c>
      <c r="C216" s="9" t="str">
        <f>IFERROR(__xludf.DUMMYFUNCTION("""COMPUTED_VALUE"""),"dt1*****08.ntpc@mail.edu.tw")</f>
        <v>dt1*****08.ntpc@mail.edu.tw</v>
      </c>
      <c r="D216" s="9" t="str">
        <f>IFERROR(__xludf.DUMMYFUNCTION("""COMPUTED_VALUE"""),"新北市私立樹人高級家事商業職業學校")</f>
        <v>新北市私立樹人高級家事商業職業學校</v>
      </c>
      <c r="E216" s="9" t="str">
        <f>IFERROR(__xludf.DUMMYFUNCTION("""COMPUTED_VALUE"""),"資料處理科")</f>
        <v>資料處理科</v>
      </c>
      <c r="F216" s="9" t="str">
        <f>IFERROR(__xludf.DUMMYFUNCTION("""COMPUTED_VALUE"""),"二年級")</f>
        <v>二年級</v>
      </c>
      <c r="G216" s="9" t="str">
        <f>IFERROR(__xludf.DUMMYFUNCTION("""COMPUTED_VALUE"""),"獎狀")</f>
        <v>獎狀</v>
      </c>
      <c r="H216" s="9"/>
    </row>
    <row r="217">
      <c r="A217" s="13" t="s">
        <v>11</v>
      </c>
      <c r="B217" s="9" t="str">
        <f>IFERROR(__xludf.DUMMYFUNCTION("""COMPUTED_VALUE"""),"陳O妍")</f>
        <v>陳O妍</v>
      </c>
      <c r="C217" s="9" t="str">
        <f>IFERROR(__xludf.DUMMYFUNCTION("""COMPUTED_VALUE"""),"dt2*****01@gmail.com")</f>
        <v>dt2*****01@gmail.com</v>
      </c>
      <c r="D217" s="9" t="str">
        <f>IFERROR(__xludf.DUMMYFUNCTION("""COMPUTED_VALUE"""),"新北市私立樹人高級家事商業職業學校")</f>
        <v>新北市私立樹人高級家事商業職業學校</v>
      </c>
      <c r="E217" s="9" t="str">
        <f>IFERROR(__xludf.DUMMYFUNCTION("""COMPUTED_VALUE"""),"資料處理科")</f>
        <v>資料處理科</v>
      </c>
      <c r="F217" s="9" t="str">
        <f>IFERROR(__xludf.DUMMYFUNCTION("""COMPUTED_VALUE"""),"二年級")</f>
        <v>二年級</v>
      </c>
      <c r="G217" s="9" t="str">
        <f>IFERROR(__xludf.DUMMYFUNCTION("""COMPUTED_VALUE"""),"獎狀")</f>
        <v>獎狀</v>
      </c>
      <c r="H217" s="9"/>
    </row>
    <row r="218">
      <c r="A218" s="13" t="s">
        <v>11</v>
      </c>
      <c r="B218" s="9" t="str">
        <f>IFERROR(__xludf.DUMMYFUNCTION("""COMPUTED_VALUE"""),"譚O珆")</f>
        <v>譚O珆</v>
      </c>
      <c r="C218" s="9" t="str">
        <f>IFERROR(__xludf.DUMMYFUNCTION("""COMPUTED_VALUE"""),"dt2*****24@gmail.com")</f>
        <v>dt2*****24@gmail.com</v>
      </c>
      <c r="D218" s="9" t="str">
        <f>IFERROR(__xludf.DUMMYFUNCTION("""COMPUTED_VALUE"""),"新北市私立樹人高級家事商業職業學校")</f>
        <v>新北市私立樹人高級家事商業職業學校</v>
      </c>
      <c r="E218" s="9" t="str">
        <f>IFERROR(__xludf.DUMMYFUNCTION("""COMPUTED_VALUE"""),"資料處理科")</f>
        <v>資料處理科</v>
      </c>
      <c r="F218" s="9" t="str">
        <f>IFERROR(__xludf.DUMMYFUNCTION("""COMPUTED_VALUE"""),"二年級")</f>
        <v>二年級</v>
      </c>
      <c r="G218" s="9" t="str">
        <f>IFERROR(__xludf.DUMMYFUNCTION("""COMPUTED_VALUE"""),"獎狀")</f>
        <v>獎狀</v>
      </c>
      <c r="H218" s="9"/>
    </row>
    <row r="219">
      <c r="A219" s="13" t="s">
        <v>11</v>
      </c>
      <c r="B219" s="9" t="str">
        <f>IFERROR(__xludf.DUMMYFUNCTION("""COMPUTED_VALUE"""),"林O辰")</f>
        <v>林O辰</v>
      </c>
      <c r="C219" s="9" t="str">
        <f>IFERROR(__xludf.DUMMYFUNCTION("""COMPUTED_VALUE"""),"dt2*****16@gmail.com")</f>
        <v>dt2*****16@gmail.com</v>
      </c>
      <c r="D219" s="9" t="str">
        <f>IFERROR(__xludf.DUMMYFUNCTION("""COMPUTED_VALUE"""),"新北市私立樹人高級家事商業職業學校")</f>
        <v>新北市私立樹人高級家事商業職業學校</v>
      </c>
      <c r="E219" s="9" t="str">
        <f>IFERROR(__xludf.DUMMYFUNCTION("""COMPUTED_VALUE"""),"資料處理科")</f>
        <v>資料處理科</v>
      </c>
      <c r="F219" s="9" t="str">
        <f>IFERROR(__xludf.DUMMYFUNCTION("""COMPUTED_VALUE"""),"二年級")</f>
        <v>二年級</v>
      </c>
      <c r="G219" s="9" t="str">
        <f>IFERROR(__xludf.DUMMYFUNCTION("""COMPUTED_VALUE"""),"獎狀")</f>
        <v>獎狀</v>
      </c>
      <c r="H219" s="9"/>
    </row>
    <row r="220">
      <c r="A220" s="13" t="s">
        <v>11</v>
      </c>
      <c r="B220" s="9" t="str">
        <f>IFERROR(__xludf.DUMMYFUNCTION("""COMPUTED_VALUE"""),"江O柔")</f>
        <v>江O柔</v>
      </c>
      <c r="C220" s="9" t="str">
        <f>IFERROR(__xludf.DUMMYFUNCTION("""COMPUTED_VALUE"""),"ff2*****22@gmail.com")</f>
        <v>ff2*****22@gmail.com</v>
      </c>
      <c r="D220" s="9" t="str">
        <f>IFERROR(__xludf.DUMMYFUNCTION("""COMPUTED_VALUE"""),"新北市私立樹人高級家事商業職業學校")</f>
        <v>新北市私立樹人高級家事商業職業學校</v>
      </c>
      <c r="E220" s="9" t="str">
        <f>IFERROR(__xludf.DUMMYFUNCTION("""COMPUTED_VALUE"""),"餐飲科")</f>
        <v>餐飲科</v>
      </c>
      <c r="F220" s="9" t="str">
        <f>IFERROR(__xludf.DUMMYFUNCTION("""COMPUTED_VALUE"""),"二年級")</f>
        <v>二年級</v>
      </c>
      <c r="G220" s="9" t="str">
        <f>IFERROR(__xludf.DUMMYFUNCTION("""COMPUTED_VALUE"""),"獎狀")</f>
        <v>獎狀</v>
      </c>
      <c r="H220" s="9"/>
    </row>
    <row r="221">
      <c r="A221" s="13" t="s">
        <v>11</v>
      </c>
      <c r="B221" s="9" t="str">
        <f>IFERROR(__xludf.DUMMYFUNCTION("""COMPUTED_VALUE"""),"陳O蓁")</f>
        <v>陳O蓁</v>
      </c>
      <c r="C221" s="9" t="str">
        <f>IFERROR(__xludf.DUMMYFUNCTION("""COMPUTED_VALUE"""),"yyy*****0721@gmail.com")</f>
        <v>yyy*****0721@gmail.com</v>
      </c>
      <c r="D221" s="9" t="str">
        <f>IFERROR(__xludf.DUMMYFUNCTION("""COMPUTED_VALUE"""),"新北市私立樹人高級家事商業職業學校")</f>
        <v>新北市私立樹人高級家事商業職業學校</v>
      </c>
      <c r="E221" s="9" t="str">
        <f>IFERROR(__xludf.DUMMYFUNCTION("""COMPUTED_VALUE"""),"餐飲科")</f>
        <v>餐飲科</v>
      </c>
      <c r="F221" s="9" t="str">
        <f>IFERROR(__xludf.DUMMYFUNCTION("""COMPUTED_VALUE"""),"二年級")</f>
        <v>二年級</v>
      </c>
      <c r="G221" s="9" t="str">
        <f>IFERROR(__xludf.DUMMYFUNCTION("""COMPUTED_VALUE"""),"獎狀")</f>
        <v>獎狀</v>
      </c>
      <c r="H221" s="9"/>
    </row>
    <row r="222">
      <c r="A222" s="13" t="s">
        <v>11</v>
      </c>
      <c r="B222" s="9" t="str">
        <f>IFERROR(__xludf.DUMMYFUNCTION("""COMPUTED_VALUE"""),"羅O皓")</f>
        <v>羅O皓</v>
      </c>
      <c r="C222" s="9" t="str">
        <f>IFERROR(__xludf.DUMMYFUNCTION("""COMPUTED_VALUE"""),"slp*****27.ntpc@mail.edu.tw")</f>
        <v>slp*****27.ntpc@mail.edu.tw</v>
      </c>
      <c r="D222" s="9" t="str">
        <f>IFERROR(__xludf.DUMMYFUNCTION("""COMPUTED_VALUE"""),"新北市私立樹人高級家事商業職業學校")</f>
        <v>新北市私立樹人高級家事商業職業學校</v>
      </c>
      <c r="E222" s="9" t="str">
        <f>IFERROR(__xludf.DUMMYFUNCTION("""COMPUTED_VALUE"""),"餐飲科")</f>
        <v>餐飲科</v>
      </c>
      <c r="F222" s="9" t="str">
        <f>IFERROR(__xludf.DUMMYFUNCTION("""COMPUTED_VALUE"""),"二年級")</f>
        <v>二年級</v>
      </c>
      <c r="G222" s="9" t="str">
        <f>IFERROR(__xludf.DUMMYFUNCTION("""COMPUTED_VALUE"""),"獎狀")</f>
        <v>獎狀</v>
      </c>
      <c r="H222" s="9"/>
    </row>
    <row r="223">
      <c r="A223" s="13" t="s">
        <v>11</v>
      </c>
      <c r="B223" s="9" t="str">
        <f>IFERROR(__xludf.DUMMYFUNCTION("""COMPUTED_VALUE"""),"葉O辰")</f>
        <v>葉O辰</v>
      </c>
      <c r="C223" s="9" t="str">
        <f>IFERROR(__xludf.DUMMYFUNCTION("""COMPUTED_VALUE"""),"a09*****527@gmail.com")</f>
        <v>a09*****527@gmail.com</v>
      </c>
      <c r="D223" s="9" t="str">
        <f>IFERROR(__xludf.DUMMYFUNCTION("""COMPUTED_VALUE"""),"新北市私立樹人高級家事商業職業學校")</f>
        <v>新北市私立樹人高級家事商業職業學校</v>
      </c>
      <c r="E223" s="9" t="str">
        <f>IFERROR(__xludf.DUMMYFUNCTION("""COMPUTED_VALUE"""),"餐飲科")</f>
        <v>餐飲科</v>
      </c>
      <c r="F223" s="9" t="str">
        <f>IFERROR(__xludf.DUMMYFUNCTION("""COMPUTED_VALUE"""),"二年級")</f>
        <v>二年級</v>
      </c>
      <c r="G223" s="9" t="str">
        <f>IFERROR(__xludf.DUMMYFUNCTION("""COMPUTED_VALUE"""),"獎狀")</f>
        <v>獎狀</v>
      </c>
      <c r="H223" s="9"/>
    </row>
    <row r="224">
      <c r="A224" s="13" t="s">
        <v>11</v>
      </c>
      <c r="B224" s="9" t="str">
        <f>IFERROR(__xludf.DUMMYFUNCTION("""COMPUTED_VALUE"""),"李O宜")</f>
        <v>李O宜</v>
      </c>
      <c r="C224" s="9" t="str">
        <f>IFERROR(__xludf.DUMMYFUNCTION("""COMPUTED_VALUE"""),"w10*****apps.ntpc.edu.tw")</f>
        <v>w10*****apps.ntpc.edu.tw</v>
      </c>
      <c r="D224" s="9" t="str">
        <f>IFERROR(__xludf.DUMMYFUNCTION("""COMPUTED_VALUE"""),"新北市立鶯歌高級工商職業學校")</f>
        <v>新北市立鶯歌高級工商職業學校</v>
      </c>
      <c r="E224" s="9" t="str">
        <f>IFERROR(__xludf.DUMMYFUNCTION("""COMPUTED_VALUE"""),"資處科")</f>
        <v>資處科</v>
      </c>
      <c r="F224" s="9" t="str">
        <f>IFERROR(__xludf.DUMMYFUNCTION("""COMPUTED_VALUE"""),"三年級")</f>
        <v>三年級</v>
      </c>
      <c r="G224" s="9" t="str">
        <f>IFERROR(__xludf.DUMMYFUNCTION("""COMPUTED_VALUE"""),"獎狀")</f>
        <v>獎狀</v>
      </c>
      <c r="H224" s="9"/>
    </row>
    <row r="225">
      <c r="A225" s="13" t="s">
        <v>11</v>
      </c>
      <c r="B225" s="9" t="str">
        <f>IFERROR(__xludf.DUMMYFUNCTION("""COMPUTED_VALUE"""),"王O翰")</f>
        <v>王O翰</v>
      </c>
      <c r="C225" s="9" t="str">
        <f>IFERROR(__xludf.DUMMYFUNCTION("""COMPUTED_VALUE"""),"app*****0521@mail.edu.tw")</f>
        <v>app*****0521@mail.edu.tw</v>
      </c>
      <c r="D225" s="9" t="str">
        <f>IFERROR(__xludf.DUMMYFUNCTION("""COMPUTED_VALUE"""),"新北市立三重高級商工職業學校")</f>
        <v>新北市立三重高級商工職業學校</v>
      </c>
      <c r="E225" s="9" t="str">
        <f>IFERROR(__xludf.DUMMYFUNCTION("""COMPUTED_VALUE"""),"汽車科")</f>
        <v>汽車科</v>
      </c>
      <c r="F225" s="9" t="str">
        <f>IFERROR(__xludf.DUMMYFUNCTION("""COMPUTED_VALUE"""),"二年級")</f>
        <v>二年級</v>
      </c>
      <c r="G225" s="9" t="str">
        <f>IFERROR(__xludf.DUMMYFUNCTION("""COMPUTED_VALUE"""),"獎狀")</f>
        <v>獎狀</v>
      </c>
      <c r="H225" s="9"/>
    </row>
    <row r="226">
      <c r="A226" s="13" t="s">
        <v>11</v>
      </c>
      <c r="B226" s="9" t="str">
        <f>IFERROR(__xludf.DUMMYFUNCTION("""COMPUTED_VALUE"""),"陳O成")</f>
        <v>陳O成</v>
      </c>
      <c r="C226" s="9" t="str">
        <f>IFERROR(__xludf.DUMMYFUNCTION("""COMPUTED_VALUE"""),"ben*****en.ntpc@mail.edu.tw")</f>
        <v>ben*****en.ntpc@mail.edu.tw</v>
      </c>
      <c r="D226" s="9" t="str">
        <f>IFERROR(__xludf.DUMMYFUNCTION("""COMPUTED_VALUE"""),"新北市立三重高級商工職業學校")</f>
        <v>新北市立三重高級商工職業學校</v>
      </c>
      <c r="E226" s="9" t="str">
        <f>IFERROR(__xludf.DUMMYFUNCTION("""COMPUTED_VALUE"""),"汽車科")</f>
        <v>汽車科</v>
      </c>
      <c r="F226" s="9" t="str">
        <f>IFERROR(__xludf.DUMMYFUNCTION("""COMPUTED_VALUE"""),"二年級")</f>
        <v>二年級</v>
      </c>
      <c r="G226" s="9" t="str">
        <f>IFERROR(__xludf.DUMMYFUNCTION("""COMPUTED_VALUE"""),"獎狀")</f>
        <v>獎狀</v>
      </c>
      <c r="H226" s="9"/>
    </row>
    <row r="227">
      <c r="A227" s="13" t="s">
        <v>11</v>
      </c>
      <c r="B227" s="9" t="str">
        <f>IFERROR(__xludf.DUMMYFUNCTION("""COMPUTED_VALUE"""),"王O靖")</f>
        <v>王O靖</v>
      </c>
      <c r="C227" s="9" t="str">
        <f>IFERROR(__xludf.DUMMYFUNCTION("""COMPUTED_VALUE"""),"viv*****.ntpc@mail.edu.tw")</f>
        <v>viv*****.ntpc@mail.edu.tw</v>
      </c>
      <c r="D227" s="9" t="str">
        <f>IFERROR(__xludf.DUMMYFUNCTION("""COMPUTED_VALUE"""),"新北市立三重高級商工職業學校")</f>
        <v>新北市立三重高級商工職業學校</v>
      </c>
      <c r="E227" s="9" t="str">
        <f>IFERROR(__xludf.DUMMYFUNCTION("""COMPUTED_VALUE"""),"汽車科")</f>
        <v>汽車科</v>
      </c>
      <c r="F227" s="9" t="str">
        <f>IFERROR(__xludf.DUMMYFUNCTION("""COMPUTED_VALUE"""),"二年級")</f>
        <v>二年級</v>
      </c>
      <c r="G227" s="9" t="str">
        <f>IFERROR(__xludf.DUMMYFUNCTION("""COMPUTED_VALUE"""),"獎狀")</f>
        <v>獎狀</v>
      </c>
      <c r="H227" s="9"/>
    </row>
    <row r="228">
      <c r="A228" s="13" t="s">
        <v>11</v>
      </c>
      <c r="B228" s="9" t="str">
        <f>IFERROR(__xludf.DUMMYFUNCTION("""COMPUTED_VALUE"""),"蔡O珊")</f>
        <v>蔡O珊</v>
      </c>
      <c r="C228" s="9" t="str">
        <f>IFERROR(__xludf.DUMMYFUNCTION("""COMPUTED_VALUE"""),"s10*****ntpc@mail.edu.tw")</f>
        <v>s10*****ntpc@mail.edu.tw</v>
      </c>
      <c r="D228" s="9" t="str">
        <f>IFERROR(__xludf.DUMMYFUNCTION("""COMPUTED_VALUE"""),"新北市立三重高級商工職業學校")</f>
        <v>新北市立三重高級商工職業學校</v>
      </c>
      <c r="E228" s="9" t="str">
        <f>IFERROR(__xludf.DUMMYFUNCTION("""COMPUTED_VALUE"""),"汽車科")</f>
        <v>汽車科</v>
      </c>
      <c r="F228" s="9" t="str">
        <f>IFERROR(__xludf.DUMMYFUNCTION("""COMPUTED_VALUE"""),"二年級")</f>
        <v>二年級</v>
      </c>
      <c r="G228" s="9" t="str">
        <f>IFERROR(__xludf.DUMMYFUNCTION("""COMPUTED_VALUE"""),"■商品卡$200")</f>
        <v>■商品卡$200</v>
      </c>
      <c r="H228" s="9"/>
    </row>
    <row r="229">
      <c r="A229" s="13" t="s">
        <v>11</v>
      </c>
      <c r="B229" s="9" t="str">
        <f>IFERROR(__xludf.DUMMYFUNCTION("""COMPUTED_VALUE"""),"周O恆")</f>
        <v>周O恆</v>
      </c>
      <c r="C229" s="9" t="str">
        <f>IFERROR(__xludf.DUMMYFUNCTION("""COMPUTED_VALUE"""),"dan*****822@gmail.com")</f>
        <v>dan*****822@gmail.com</v>
      </c>
      <c r="D229" s="9" t="str">
        <f>IFERROR(__xludf.DUMMYFUNCTION("""COMPUTED_VALUE"""),"新北市立三重高級商工職業學校")</f>
        <v>新北市立三重高級商工職業學校</v>
      </c>
      <c r="E229" s="9" t="str">
        <f>IFERROR(__xludf.DUMMYFUNCTION("""COMPUTED_VALUE"""),"汽車科")</f>
        <v>汽車科</v>
      </c>
      <c r="F229" s="9" t="str">
        <f>IFERROR(__xludf.DUMMYFUNCTION("""COMPUTED_VALUE"""),"二年級")</f>
        <v>二年級</v>
      </c>
      <c r="G229" s="9" t="str">
        <f>IFERROR(__xludf.DUMMYFUNCTION("""COMPUTED_VALUE"""),"獎狀")</f>
        <v>獎狀</v>
      </c>
      <c r="H229" s="9"/>
    </row>
    <row r="230">
      <c r="A230" s="13" t="s">
        <v>11</v>
      </c>
      <c r="B230" s="9" t="str">
        <f>IFERROR(__xludf.DUMMYFUNCTION("""COMPUTED_VALUE"""),"廖O安")</f>
        <v>廖O安</v>
      </c>
      <c r="C230" s="9" t="str">
        <f>IFERROR(__xludf.DUMMYFUNCTION("""COMPUTED_VALUE"""),"thh*****13@gmail.com")</f>
        <v>thh*****13@gmail.com</v>
      </c>
      <c r="D230" s="9" t="str">
        <f>IFERROR(__xludf.DUMMYFUNCTION("""COMPUTED_VALUE"""),"新北市立三重高級商工職業學校")</f>
        <v>新北市立三重高級商工職業學校</v>
      </c>
      <c r="E230" s="9" t="str">
        <f>IFERROR(__xludf.DUMMYFUNCTION("""COMPUTED_VALUE"""),"汽車科")</f>
        <v>汽車科</v>
      </c>
      <c r="F230" s="9" t="str">
        <f>IFERROR(__xludf.DUMMYFUNCTION("""COMPUTED_VALUE"""),"二年級")</f>
        <v>二年級</v>
      </c>
      <c r="G230" s="9" t="str">
        <f>IFERROR(__xludf.DUMMYFUNCTION("""COMPUTED_VALUE"""),"獎狀")</f>
        <v>獎狀</v>
      </c>
      <c r="H230" s="9"/>
    </row>
    <row r="231">
      <c r="A231" s="13" t="s">
        <v>11</v>
      </c>
      <c r="B231" s="9" t="str">
        <f>IFERROR(__xludf.DUMMYFUNCTION("""COMPUTED_VALUE"""),"曾O閎")</f>
        <v>曾O閎</v>
      </c>
      <c r="C231" s="9" t="str">
        <f>IFERROR(__xludf.DUMMYFUNCTION("""COMPUTED_VALUE"""),"kyl*****9@gmail.com")</f>
        <v>kyl*****9@gmail.com</v>
      </c>
      <c r="D231" s="9" t="str">
        <f>IFERROR(__xludf.DUMMYFUNCTION("""COMPUTED_VALUE"""),"新北市立三重高級商工職業學校")</f>
        <v>新北市立三重高級商工職業學校</v>
      </c>
      <c r="E231" s="9" t="str">
        <f>IFERROR(__xludf.DUMMYFUNCTION("""COMPUTED_VALUE"""),"汽車科")</f>
        <v>汽車科</v>
      </c>
      <c r="F231" s="9" t="str">
        <f>IFERROR(__xludf.DUMMYFUNCTION("""COMPUTED_VALUE"""),"二年級")</f>
        <v>二年級</v>
      </c>
      <c r="G231" s="9" t="str">
        <f>IFERROR(__xludf.DUMMYFUNCTION("""COMPUTED_VALUE"""),"■商品卡$200")</f>
        <v>■商品卡$200</v>
      </c>
      <c r="H231" s="9"/>
    </row>
    <row r="232">
      <c r="A232" s="13" t="s">
        <v>11</v>
      </c>
      <c r="B232" s="9" t="str">
        <f>IFERROR(__xludf.DUMMYFUNCTION("""COMPUTED_VALUE"""),"廖O傑")</f>
        <v>廖O傑</v>
      </c>
      <c r="C232" s="9" t="str">
        <f>IFERROR(__xludf.DUMMYFUNCTION("""COMPUTED_VALUE"""),"pet*****202@mail.edu.tw")</f>
        <v>pet*****202@mail.edu.tw</v>
      </c>
      <c r="D232" s="9" t="str">
        <f>IFERROR(__xludf.DUMMYFUNCTION("""COMPUTED_VALUE"""),"新北市立三重高級商工職業學校")</f>
        <v>新北市立三重高級商工職業學校</v>
      </c>
      <c r="E232" s="9" t="str">
        <f>IFERROR(__xludf.DUMMYFUNCTION("""COMPUTED_VALUE"""),"汽車科")</f>
        <v>汽車科</v>
      </c>
      <c r="F232" s="9" t="str">
        <f>IFERROR(__xludf.DUMMYFUNCTION("""COMPUTED_VALUE"""),"二年級")</f>
        <v>二年級</v>
      </c>
      <c r="G232" s="9" t="str">
        <f>IFERROR(__xludf.DUMMYFUNCTION("""COMPUTED_VALUE"""),"獎狀")</f>
        <v>獎狀</v>
      </c>
      <c r="H232" s="9"/>
    </row>
    <row r="233">
      <c r="A233" s="13" t="s">
        <v>11</v>
      </c>
      <c r="B233" s="9" t="str">
        <f>IFERROR(__xludf.DUMMYFUNCTION("""COMPUTED_VALUE"""),"鄭O程")</f>
        <v>鄭O程</v>
      </c>
      <c r="C233" s="9" t="str">
        <f>IFERROR(__xludf.DUMMYFUNCTION("""COMPUTED_VALUE"""),"s31*****g.scvs.ntpc.edu.tw")</f>
        <v>s31*****g.scvs.ntpc.edu.tw</v>
      </c>
      <c r="D233" s="9" t="str">
        <f>IFERROR(__xludf.DUMMYFUNCTION("""COMPUTED_VALUE"""),"新北市立三重高級商工職業學校")</f>
        <v>新北市立三重高級商工職業學校</v>
      </c>
      <c r="E233" s="9" t="str">
        <f>IFERROR(__xludf.DUMMYFUNCTION("""COMPUTED_VALUE"""),"汽車科")</f>
        <v>汽車科</v>
      </c>
      <c r="F233" s="9" t="str">
        <f>IFERROR(__xludf.DUMMYFUNCTION("""COMPUTED_VALUE"""),"二年級")</f>
        <v>二年級</v>
      </c>
      <c r="G233" s="9" t="str">
        <f>IFERROR(__xludf.DUMMYFUNCTION("""COMPUTED_VALUE"""),"獎狀")</f>
        <v>獎狀</v>
      </c>
      <c r="H233" s="9"/>
    </row>
    <row r="234">
      <c r="A234" s="13" t="s">
        <v>11</v>
      </c>
      <c r="B234" s="9" t="str">
        <f>IFERROR(__xludf.DUMMYFUNCTION("""COMPUTED_VALUE"""),"鄭O騰")</f>
        <v>鄭O騰</v>
      </c>
      <c r="C234" s="9" t="str">
        <f>IFERROR(__xludf.DUMMYFUNCTION("""COMPUTED_VALUE"""),"s31*****g.scvs.ntpc.edu.tw")</f>
        <v>s31*****g.scvs.ntpc.edu.tw</v>
      </c>
      <c r="D234" s="9" t="str">
        <f>IFERROR(__xludf.DUMMYFUNCTION("""COMPUTED_VALUE"""),"新北市立三重高級商工職業學校")</f>
        <v>新北市立三重高級商工職業學校</v>
      </c>
      <c r="E234" s="9" t="str">
        <f>IFERROR(__xludf.DUMMYFUNCTION("""COMPUTED_VALUE"""),"汽車科")</f>
        <v>汽車科</v>
      </c>
      <c r="F234" s="9" t="str">
        <f>IFERROR(__xludf.DUMMYFUNCTION("""COMPUTED_VALUE"""),"二年級")</f>
        <v>二年級</v>
      </c>
      <c r="G234" s="9" t="str">
        <f>IFERROR(__xludf.DUMMYFUNCTION("""COMPUTED_VALUE"""),"獎狀")</f>
        <v>獎狀</v>
      </c>
      <c r="H234" s="9"/>
    </row>
    <row r="235">
      <c r="A235" s="13" t="s">
        <v>11</v>
      </c>
      <c r="B235" s="9" t="str">
        <f>IFERROR(__xludf.DUMMYFUNCTION("""COMPUTED_VALUE"""),"蘇O翔")</f>
        <v>蘇O翔</v>
      </c>
      <c r="C235" s="9" t="str">
        <f>IFERROR(__xludf.DUMMYFUNCTION("""COMPUTED_VALUE"""),"poo*****07.ntpc@mail.edu.tw")</f>
        <v>poo*****07.ntpc@mail.edu.tw</v>
      </c>
      <c r="D235" s="9" t="str">
        <f>IFERROR(__xludf.DUMMYFUNCTION("""COMPUTED_VALUE"""),"新北市立三重高級商工職業學校")</f>
        <v>新北市立三重高級商工職業學校</v>
      </c>
      <c r="E235" s="9" t="str">
        <f>IFERROR(__xludf.DUMMYFUNCTION("""COMPUTED_VALUE"""),"汽車科")</f>
        <v>汽車科</v>
      </c>
      <c r="F235" s="9" t="str">
        <f>IFERROR(__xludf.DUMMYFUNCTION("""COMPUTED_VALUE"""),"二年級")</f>
        <v>二年級</v>
      </c>
      <c r="G235" s="9" t="str">
        <f>IFERROR(__xludf.DUMMYFUNCTION("""COMPUTED_VALUE"""),"○商品卡$500")</f>
        <v>○商品卡$500</v>
      </c>
      <c r="H235" s="9"/>
    </row>
    <row r="236">
      <c r="A236" s="13" t="s">
        <v>11</v>
      </c>
      <c r="B236" s="9" t="str">
        <f>IFERROR(__xludf.DUMMYFUNCTION("""COMPUTED_VALUE"""),"江O均")</f>
        <v>江O均</v>
      </c>
      <c r="C236" s="9" t="str">
        <f>IFERROR(__xludf.DUMMYFUNCTION("""COMPUTED_VALUE"""),"yoy*****22@gmail.com")</f>
        <v>yoy*****22@gmail.com</v>
      </c>
      <c r="D236" s="9" t="str">
        <f>IFERROR(__xludf.DUMMYFUNCTION("""COMPUTED_VALUE"""),"新北市立三重高級商工職業學校")</f>
        <v>新北市立三重高級商工職業學校</v>
      </c>
      <c r="E236" s="9" t="str">
        <f>IFERROR(__xludf.DUMMYFUNCTION("""COMPUTED_VALUE"""),"汽車科")</f>
        <v>汽車科</v>
      </c>
      <c r="F236" s="9" t="str">
        <f>IFERROR(__xludf.DUMMYFUNCTION("""COMPUTED_VALUE"""),"二年級")</f>
        <v>二年級</v>
      </c>
      <c r="G236" s="9" t="str">
        <f>IFERROR(__xludf.DUMMYFUNCTION("""COMPUTED_VALUE"""),"獎狀")</f>
        <v>獎狀</v>
      </c>
      <c r="H236" s="9"/>
    </row>
    <row r="237">
      <c r="A237" s="13" t="s">
        <v>11</v>
      </c>
      <c r="B237" s="9" t="str">
        <f>IFERROR(__xludf.DUMMYFUNCTION("""COMPUTED_VALUE"""),"張O翔")</f>
        <v>張O翔</v>
      </c>
      <c r="C237" s="9" t="str">
        <f>IFERROR(__xludf.DUMMYFUNCTION("""COMPUTED_VALUE"""),"bhe*****45@apps.ntpc.edu.tw")</f>
        <v>bhe*****45@apps.ntpc.edu.tw</v>
      </c>
      <c r="D237" s="9" t="str">
        <f>IFERROR(__xludf.DUMMYFUNCTION("""COMPUTED_VALUE"""),"新北市立三重高級商工職業學校")</f>
        <v>新北市立三重高級商工職業學校</v>
      </c>
      <c r="E237" s="9" t="str">
        <f>IFERROR(__xludf.DUMMYFUNCTION("""COMPUTED_VALUE"""),"汽車科")</f>
        <v>汽車科</v>
      </c>
      <c r="F237" s="9" t="str">
        <f>IFERROR(__xludf.DUMMYFUNCTION("""COMPUTED_VALUE"""),"二年級")</f>
        <v>二年級</v>
      </c>
      <c r="G237" s="9" t="str">
        <f>IFERROR(__xludf.DUMMYFUNCTION("""COMPUTED_VALUE"""),"獎狀")</f>
        <v>獎狀</v>
      </c>
      <c r="H237" s="9"/>
    </row>
    <row r="238">
      <c r="A238" s="13" t="s">
        <v>11</v>
      </c>
      <c r="B238" s="9" t="str">
        <f>IFERROR(__xludf.DUMMYFUNCTION("""COMPUTED_VALUE"""),"余O曜")</f>
        <v>余O曜</v>
      </c>
      <c r="C238" s="9" t="str">
        <f>IFERROR(__xludf.DUMMYFUNCTION("""COMPUTED_VALUE"""),"jer*****29898@gmail.com")</f>
        <v>jer*****29898@gmail.com</v>
      </c>
      <c r="D238" s="9" t="str">
        <f>IFERROR(__xludf.DUMMYFUNCTION("""COMPUTED_VALUE"""),"新北市立三重高級商工職業學校")</f>
        <v>新北市立三重高級商工職業學校</v>
      </c>
      <c r="E238" s="9" t="str">
        <f>IFERROR(__xludf.DUMMYFUNCTION("""COMPUTED_VALUE"""),"汽車科")</f>
        <v>汽車科</v>
      </c>
      <c r="F238" s="9" t="str">
        <f>IFERROR(__xludf.DUMMYFUNCTION("""COMPUTED_VALUE"""),"二年級")</f>
        <v>二年級</v>
      </c>
      <c r="G238" s="9" t="str">
        <f>IFERROR(__xludf.DUMMYFUNCTION("""COMPUTED_VALUE"""),"獎狀")</f>
        <v>獎狀</v>
      </c>
      <c r="H238" s="9"/>
    </row>
    <row r="239">
      <c r="A239" s="13" t="s">
        <v>11</v>
      </c>
      <c r="B239" s="9" t="str">
        <f>IFERROR(__xludf.DUMMYFUNCTION("""COMPUTED_VALUE"""),"鄧O安")</f>
        <v>鄧O安</v>
      </c>
      <c r="C239" s="9" t="str">
        <f>IFERROR(__xludf.DUMMYFUNCTION("""COMPUTED_VALUE"""),"ann*****5@gmail.com")</f>
        <v>ann*****5@gmail.com</v>
      </c>
      <c r="D239" s="9" t="str">
        <f>IFERROR(__xludf.DUMMYFUNCTION("""COMPUTED_VALUE"""),"新北市立三重高級商工職業學校")</f>
        <v>新北市立三重高級商工職業學校</v>
      </c>
      <c r="E239" s="9" t="str">
        <f>IFERROR(__xludf.DUMMYFUNCTION("""COMPUTED_VALUE"""),"汽車科")</f>
        <v>汽車科</v>
      </c>
      <c r="F239" s="9" t="str">
        <f>IFERROR(__xludf.DUMMYFUNCTION("""COMPUTED_VALUE"""),"二年級")</f>
        <v>二年級</v>
      </c>
      <c r="G239" s="9" t="str">
        <f>IFERROR(__xludf.DUMMYFUNCTION("""COMPUTED_VALUE"""),"獎狀")</f>
        <v>獎狀</v>
      </c>
      <c r="H239" s="9"/>
    </row>
    <row r="240">
      <c r="A240" s="13" t="s">
        <v>11</v>
      </c>
      <c r="B240" s="9" t="str">
        <f>IFERROR(__xludf.DUMMYFUNCTION("""COMPUTED_VALUE"""),"葉O德")</f>
        <v>葉O德</v>
      </c>
      <c r="C240" s="9" t="str">
        <f>IFERROR(__xludf.DUMMYFUNCTION("""COMPUTED_VALUE"""),"f18*****ps.ntpc.edu.tw")</f>
        <v>f18*****ps.ntpc.edu.tw</v>
      </c>
      <c r="D240" s="9" t="str">
        <f>IFERROR(__xludf.DUMMYFUNCTION("""COMPUTED_VALUE"""),"新北市立三重高級商工職業學校")</f>
        <v>新北市立三重高級商工職業學校</v>
      </c>
      <c r="E240" s="9" t="str">
        <f>IFERROR(__xludf.DUMMYFUNCTION("""COMPUTED_VALUE"""),"汽車科")</f>
        <v>汽車科</v>
      </c>
      <c r="F240" s="9" t="str">
        <f>IFERROR(__xludf.DUMMYFUNCTION("""COMPUTED_VALUE"""),"二年級")</f>
        <v>二年級</v>
      </c>
      <c r="G240" s="9" t="str">
        <f>IFERROR(__xludf.DUMMYFUNCTION("""COMPUTED_VALUE"""),"獎狀")</f>
        <v>獎狀</v>
      </c>
      <c r="H240" s="9"/>
    </row>
    <row r="241">
      <c r="A241" s="13" t="s">
        <v>11</v>
      </c>
      <c r="B241" s="9" t="str">
        <f>IFERROR(__xludf.DUMMYFUNCTION("""COMPUTED_VALUE"""),"吳O珩")</f>
        <v>吳O珩</v>
      </c>
      <c r="C241" s="9" t="str">
        <f>IFERROR(__xludf.DUMMYFUNCTION("""COMPUTED_VALUE"""),"wms*****0@gmail.com")</f>
        <v>wms*****0@gmail.com</v>
      </c>
      <c r="D241" s="9" t="str">
        <f>IFERROR(__xludf.DUMMYFUNCTION("""COMPUTED_VALUE"""),"新北市立三重高級商工職業學校")</f>
        <v>新北市立三重高級商工職業學校</v>
      </c>
      <c r="E241" s="9" t="str">
        <f>IFERROR(__xludf.DUMMYFUNCTION("""COMPUTED_VALUE"""),"汽車科")</f>
        <v>汽車科</v>
      </c>
      <c r="F241" s="9" t="str">
        <f>IFERROR(__xludf.DUMMYFUNCTION("""COMPUTED_VALUE"""),"二年級")</f>
        <v>二年級</v>
      </c>
      <c r="G241" s="9" t="str">
        <f>IFERROR(__xludf.DUMMYFUNCTION("""COMPUTED_VALUE"""),"獎狀")</f>
        <v>獎狀</v>
      </c>
      <c r="H241" s="9"/>
    </row>
    <row r="242">
      <c r="A242" s="13" t="s">
        <v>11</v>
      </c>
      <c r="B242" s="9" t="str">
        <f>IFERROR(__xludf.DUMMYFUNCTION("""COMPUTED_VALUE"""),"王O宇")</f>
        <v>王O宇</v>
      </c>
      <c r="C242" s="9" t="str">
        <f>IFERROR(__xludf.DUMMYFUNCTION("""COMPUTED_VALUE"""),"s31*****g.scvs.ntpc.edu.tw")</f>
        <v>s31*****g.scvs.ntpc.edu.tw</v>
      </c>
      <c r="D242" s="9" t="str">
        <f>IFERROR(__xludf.DUMMYFUNCTION("""COMPUTED_VALUE"""),"新北市立三重高級商工職業學校")</f>
        <v>新北市立三重高級商工職業學校</v>
      </c>
      <c r="E242" s="9" t="str">
        <f>IFERROR(__xludf.DUMMYFUNCTION("""COMPUTED_VALUE"""),"汽車科")</f>
        <v>汽車科</v>
      </c>
      <c r="F242" s="9" t="str">
        <f>IFERROR(__xludf.DUMMYFUNCTION("""COMPUTED_VALUE"""),"二年級")</f>
        <v>二年級</v>
      </c>
      <c r="G242" s="9" t="str">
        <f>IFERROR(__xludf.DUMMYFUNCTION("""COMPUTED_VALUE"""),"獎狀")</f>
        <v>獎狀</v>
      </c>
      <c r="H242" s="9"/>
    </row>
    <row r="243">
      <c r="A243" s="13" t="s">
        <v>11</v>
      </c>
      <c r="B243" s="9" t="str">
        <f>IFERROR(__xludf.DUMMYFUNCTION("""COMPUTED_VALUE"""),"陳O理")</f>
        <v>陳O理</v>
      </c>
      <c r="C243" s="9" t="str">
        <f>IFERROR(__xludf.DUMMYFUNCTION("""COMPUTED_VALUE"""),"yoy*****pps.ntpc.edu.tw")</f>
        <v>yoy*****pps.ntpc.edu.tw</v>
      </c>
      <c r="D243" s="9" t="str">
        <f>IFERROR(__xludf.DUMMYFUNCTION("""COMPUTED_VALUE"""),"新北市立三重高級商工職業學校")</f>
        <v>新北市立三重高級商工職業學校</v>
      </c>
      <c r="E243" s="9" t="str">
        <f>IFERROR(__xludf.DUMMYFUNCTION("""COMPUTED_VALUE"""),"汽車科")</f>
        <v>汽車科</v>
      </c>
      <c r="F243" s="9" t="str">
        <f>IFERROR(__xludf.DUMMYFUNCTION("""COMPUTED_VALUE"""),"二年級")</f>
        <v>二年級</v>
      </c>
      <c r="G243" s="9" t="str">
        <f>IFERROR(__xludf.DUMMYFUNCTION("""COMPUTED_VALUE"""),"獎狀")</f>
        <v>獎狀</v>
      </c>
      <c r="H243" s="9"/>
    </row>
    <row r="244">
      <c r="A244" s="13" t="s">
        <v>11</v>
      </c>
      <c r="B244" s="9" t="str">
        <f>IFERROR(__xludf.DUMMYFUNCTION("""COMPUTED_VALUE"""),"劉O福")</f>
        <v>劉O福</v>
      </c>
      <c r="C244" s="9" t="str">
        <f>IFERROR(__xludf.DUMMYFUNCTION("""COMPUTED_VALUE"""),"max*****25@gmail.com")</f>
        <v>max*****25@gmail.com</v>
      </c>
      <c r="D244" s="9" t="str">
        <f>IFERROR(__xludf.DUMMYFUNCTION("""COMPUTED_VALUE"""),"新北市立三重高級商工職業學校")</f>
        <v>新北市立三重高級商工職業學校</v>
      </c>
      <c r="E244" s="9" t="str">
        <f>IFERROR(__xludf.DUMMYFUNCTION("""COMPUTED_VALUE"""),"汽車科")</f>
        <v>汽車科</v>
      </c>
      <c r="F244" s="9" t="str">
        <f>IFERROR(__xludf.DUMMYFUNCTION("""COMPUTED_VALUE"""),"二年級")</f>
        <v>二年級</v>
      </c>
      <c r="G244" s="9" t="str">
        <f>IFERROR(__xludf.DUMMYFUNCTION("""COMPUTED_VALUE"""),"獎狀")</f>
        <v>獎狀</v>
      </c>
      <c r="H244" s="9"/>
    </row>
    <row r="245">
      <c r="A245" s="13" t="s">
        <v>11</v>
      </c>
      <c r="B245" s="9" t="str">
        <f>IFERROR(__xludf.DUMMYFUNCTION("""COMPUTED_VALUE"""),"沈O禾")</f>
        <v>沈O禾</v>
      </c>
      <c r="C245" s="9" t="str">
        <f>IFERROR(__xludf.DUMMYFUNCTION("""COMPUTED_VALUE"""),"wuh*****2@gmail.com")</f>
        <v>wuh*****2@gmail.com</v>
      </c>
      <c r="D245" s="9" t="str">
        <f>IFERROR(__xludf.DUMMYFUNCTION("""COMPUTED_VALUE"""),"新北市立三重高級商工職業學校")</f>
        <v>新北市立三重高級商工職業學校</v>
      </c>
      <c r="E245" s="9" t="str">
        <f>IFERROR(__xludf.DUMMYFUNCTION("""COMPUTED_VALUE"""),"汽車科")</f>
        <v>汽車科</v>
      </c>
      <c r="F245" s="9" t="str">
        <f>IFERROR(__xludf.DUMMYFUNCTION("""COMPUTED_VALUE"""),"二年級")</f>
        <v>二年級</v>
      </c>
      <c r="G245" s="9" t="str">
        <f>IFERROR(__xludf.DUMMYFUNCTION("""COMPUTED_VALUE"""),"獎狀")</f>
        <v>獎狀</v>
      </c>
      <c r="H245" s="9"/>
    </row>
    <row r="246">
      <c r="A246" s="13" t="s">
        <v>11</v>
      </c>
      <c r="B246" s="9" t="str">
        <f>IFERROR(__xludf.DUMMYFUNCTION("""COMPUTED_VALUE"""),"羅O嘉")</f>
        <v>羅O嘉</v>
      </c>
      <c r="C246" s="9" t="str">
        <f>IFERROR(__xludf.DUMMYFUNCTION("""COMPUTED_VALUE"""),"roy*****apps.ntpc.edu.tw")</f>
        <v>roy*****apps.ntpc.edu.tw</v>
      </c>
      <c r="D246" s="9" t="str">
        <f>IFERROR(__xludf.DUMMYFUNCTION("""COMPUTED_VALUE"""),"新北市立三重高級商工職業學校")</f>
        <v>新北市立三重高級商工職業學校</v>
      </c>
      <c r="E246" s="9" t="str">
        <f>IFERROR(__xludf.DUMMYFUNCTION("""COMPUTED_VALUE"""),"板金")</f>
        <v>板金</v>
      </c>
      <c r="F246" s="9" t="str">
        <f>IFERROR(__xludf.DUMMYFUNCTION("""COMPUTED_VALUE"""),"二年級")</f>
        <v>二年級</v>
      </c>
      <c r="G246" s="9" t="str">
        <f>IFERROR(__xludf.DUMMYFUNCTION("""COMPUTED_VALUE"""),"獎狀")</f>
        <v>獎狀</v>
      </c>
      <c r="H246" s="9"/>
    </row>
    <row r="247">
      <c r="A247" s="13" t="s">
        <v>11</v>
      </c>
      <c r="B247" s="9" t="str">
        <f>IFERROR(__xludf.DUMMYFUNCTION("""COMPUTED_VALUE"""),"葉O翊")</f>
        <v>葉O翊</v>
      </c>
      <c r="C247" s="9" t="str">
        <f>IFERROR(__xludf.DUMMYFUNCTION("""COMPUTED_VALUE"""),"hul*****0512@gmail.com")</f>
        <v>hul*****0512@gmail.com</v>
      </c>
      <c r="D247" s="9" t="str">
        <f>IFERROR(__xludf.DUMMYFUNCTION("""COMPUTED_VALUE"""),"新北市立三重高級商工職業學校")</f>
        <v>新北市立三重高級商工職業學校</v>
      </c>
      <c r="E247" s="9" t="str">
        <f>IFERROR(__xludf.DUMMYFUNCTION("""COMPUTED_VALUE"""),"板金科")</f>
        <v>板金科</v>
      </c>
      <c r="F247" s="9" t="str">
        <f>IFERROR(__xludf.DUMMYFUNCTION("""COMPUTED_VALUE"""),"一年級")</f>
        <v>一年級</v>
      </c>
      <c r="G247" s="9" t="str">
        <f>IFERROR(__xludf.DUMMYFUNCTION("""COMPUTED_VALUE"""),"■商品卡$200")</f>
        <v>■商品卡$200</v>
      </c>
      <c r="H247" s="9"/>
    </row>
    <row r="248">
      <c r="A248" s="13" t="s">
        <v>11</v>
      </c>
      <c r="B248" s="9" t="str">
        <f>IFERROR(__xludf.DUMMYFUNCTION("""COMPUTED_VALUE"""),"黃O智")</f>
        <v>黃O智</v>
      </c>
      <c r="C248" s="9" t="str">
        <f>IFERROR(__xludf.DUMMYFUNCTION("""COMPUTED_VALUE"""),"jus*****11.ntpc@mail.edu.tw")</f>
        <v>jus*****11.ntpc@mail.edu.tw</v>
      </c>
      <c r="D248" s="9" t="str">
        <f>IFERROR(__xludf.DUMMYFUNCTION("""COMPUTED_VALUE"""),"新北市立三重高級商工職業學校")</f>
        <v>新北市立三重高級商工職業學校</v>
      </c>
      <c r="E248" s="9" t="str">
        <f>IFERROR(__xludf.DUMMYFUNCTION("""COMPUTED_VALUE"""),"板金科")</f>
        <v>板金科</v>
      </c>
      <c r="F248" s="9" t="str">
        <f>IFERROR(__xludf.DUMMYFUNCTION("""COMPUTED_VALUE"""),"一年級")</f>
        <v>一年級</v>
      </c>
      <c r="G248" s="9" t="str">
        <f>IFERROR(__xludf.DUMMYFUNCTION("""COMPUTED_VALUE"""),"獎狀")</f>
        <v>獎狀</v>
      </c>
      <c r="H248" s="9"/>
    </row>
    <row r="249">
      <c r="A249" s="13" t="s">
        <v>11</v>
      </c>
      <c r="B249" s="9" t="str">
        <f>IFERROR(__xludf.DUMMYFUNCTION("""COMPUTED_VALUE"""),"陳O喆")</f>
        <v>陳O喆</v>
      </c>
      <c r="C249" s="9" t="str">
        <f>IFERROR(__xludf.DUMMYFUNCTION("""COMPUTED_VALUE"""),"wei*****03@gmail.com")</f>
        <v>wei*****03@gmail.com</v>
      </c>
      <c r="D249" s="9" t="str">
        <f>IFERROR(__xludf.DUMMYFUNCTION("""COMPUTED_VALUE"""),"新北市立三重高級商工職業學校")</f>
        <v>新北市立三重高級商工職業學校</v>
      </c>
      <c r="E249" s="9" t="str">
        <f>IFERROR(__xludf.DUMMYFUNCTION("""COMPUTED_VALUE"""),"板金科")</f>
        <v>板金科</v>
      </c>
      <c r="F249" s="9" t="str">
        <f>IFERROR(__xludf.DUMMYFUNCTION("""COMPUTED_VALUE"""),"二年級")</f>
        <v>二年級</v>
      </c>
      <c r="G249" s="9" t="str">
        <f>IFERROR(__xludf.DUMMYFUNCTION("""COMPUTED_VALUE"""),"獎狀")</f>
        <v>獎狀</v>
      </c>
      <c r="H249" s="9"/>
    </row>
    <row r="250">
      <c r="A250" s="13" t="s">
        <v>11</v>
      </c>
      <c r="B250" s="9" t="str">
        <f>IFERROR(__xludf.DUMMYFUNCTION("""COMPUTED_VALUE"""),"李O晟")</f>
        <v>李O晟</v>
      </c>
      <c r="C250" s="9" t="str">
        <f>IFERROR(__xludf.DUMMYFUNCTION("""COMPUTED_VALUE"""),"wu1*****.ntpc@mail.edu.tw")</f>
        <v>wu1*****.ntpc@mail.edu.tw</v>
      </c>
      <c r="D250" s="9" t="str">
        <f>IFERROR(__xludf.DUMMYFUNCTION("""COMPUTED_VALUE"""),"新北市立三重高級商工職業學校")</f>
        <v>新北市立三重高級商工職業學校</v>
      </c>
      <c r="E250" s="9" t="str">
        <f>IFERROR(__xludf.DUMMYFUNCTION("""COMPUTED_VALUE"""),"板金科")</f>
        <v>板金科</v>
      </c>
      <c r="F250" s="9" t="str">
        <f>IFERROR(__xludf.DUMMYFUNCTION("""COMPUTED_VALUE"""),"二年級")</f>
        <v>二年級</v>
      </c>
      <c r="G250" s="9" t="str">
        <f>IFERROR(__xludf.DUMMYFUNCTION("""COMPUTED_VALUE"""),"★商品卡$1000")</f>
        <v>★商品卡$1000</v>
      </c>
      <c r="H250" s="9"/>
    </row>
    <row r="251">
      <c r="A251" s="13" t="s">
        <v>11</v>
      </c>
      <c r="B251" s="9" t="str">
        <f>IFERROR(__xludf.DUMMYFUNCTION("""COMPUTED_VALUE"""),"黃O睿")</f>
        <v>黃O睿</v>
      </c>
      <c r="C251" s="9" t="str">
        <f>IFERROR(__xludf.DUMMYFUNCTION("""COMPUTED_VALUE"""),"s31*****g.scvs.ntpc.edu.tw")</f>
        <v>s31*****g.scvs.ntpc.edu.tw</v>
      </c>
      <c r="D251" s="9" t="str">
        <f>IFERROR(__xludf.DUMMYFUNCTION("""COMPUTED_VALUE"""),"新北市立三重高級商工職業學校")</f>
        <v>新北市立三重高級商工職業學校</v>
      </c>
      <c r="E251" s="9" t="str">
        <f>IFERROR(__xludf.DUMMYFUNCTION("""COMPUTED_VALUE"""),"板金科")</f>
        <v>板金科</v>
      </c>
      <c r="F251" s="9" t="str">
        <f>IFERROR(__xludf.DUMMYFUNCTION("""COMPUTED_VALUE"""),"一年級")</f>
        <v>一年級</v>
      </c>
      <c r="G251" s="9" t="str">
        <f>IFERROR(__xludf.DUMMYFUNCTION("""COMPUTED_VALUE"""),"獎狀")</f>
        <v>獎狀</v>
      </c>
      <c r="H251" s="9"/>
    </row>
    <row r="252">
      <c r="A252" s="13" t="s">
        <v>11</v>
      </c>
      <c r="B252" s="9" t="str">
        <f>IFERROR(__xludf.DUMMYFUNCTION("""COMPUTED_VALUE"""),"陳O紘")</f>
        <v>陳O紘</v>
      </c>
      <c r="C252" s="9" t="str">
        <f>IFERROR(__xludf.DUMMYFUNCTION("""COMPUTED_VALUE"""),"wc9*****7@gmail.com")</f>
        <v>wc9*****7@gmail.com</v>
      </c>
      <c r="D252" s="9" t="str">
        <f>IFERROR(__xludf.DUMMYFUNCTION("""COMPUTED_VALUE"""),"新北市立三重高級商工職業學校")</f>
        <v>新北市立三重高級商工職業學校</v>
      </c>
      <c r="E252" s="9" t="str">
        <f>IFERROR(__xludf.DUMMYFUNCTION("""COMPUTED_VALUE"""),"板金科")</f>
        <v>板金科</v>
      </c>
      <c r="F252" s="9" t="str">
        <f>IFERROR(__xludf.DUMMYFUNCTION("""COMPUTED_VALUE"""),"二年級")</f>
        <v>二年級</v>
      </c>
      <c r="G252" s="9" t="str">
        <f>IFERROR(__xludf.DUMMYFUNCTION("""COMPUTED_VALUE"""),"獎狀")</f>
        <v>獎狀</v>
      </c>
      <c r="H252" s="9"/>
    </row>
    <row r="253">
      <c r="A253" s="13" t="s">
        <v>11</v>
      </c>
      <c r="B253" s="9" t="str">
        <f>IFERROR(__xludf.DUMMYFUNCTION("""COMPUTED_VALUE"""),"張O宸")</f>
        <v>張O宸</v>
      </c>
      <c r="C253" s="9" t="str">
        <f>IFERROR(__xludf.DUMMYFUNCTION("""COMPUTED_VALUE"""),"nan*****aiqi@gmail.com")</f>
        <v>nan*****aiqi@gmail.com</v>
      </c>
      <c r="D253" s="9" t="str">
        <f>IFERROR(__xludf.DUMMYFUNCTION("""COMPUTED_VALUE"""),"新北市立三重高級商工職業學校")</f>
        <v>新北市立三重高級商工職業學校</v>
      </c>
      <c r="E253" s="9" t="str">
        <f>IFERROR(__xludf.DUMMYFUNCTION("""COMPUTED_VALUE"""),"板金科")</f>
        <v>板金科</v>
      </c>
      <c r="F253" s="9" t="str">
        <f>IFERROR(__xludf.DUMMYFUNCTION("""COMPUTED_VALUE"""),"二年級")</f>
        <v>二年級</v>
      </c>
      <c r="G253" s="9" t="str">
        <f>IFERROR(__xludf.DUMMYFUNCTION("""COMPUTED_VALUE"""),"獎狀")</f>
        <v>獎狀</v>
      </c>
      <c r="H253" s="9"/>
    </row>
    <row r="254">
      <c r="A254" s="13" t="s">
        <v>11</v>
      </c>
      <c r="B254" s="9" t="str">
        <f>IFERROR(__xludf.DUMMYFUNCTION("""COMPUTED_VALUE"""),"游O樂")</f>
        <v>游O樂</v>
      </c>
      <c r="C254" s="9" t="str">
        <f>IFERROR(__xludf.DUMMYFUNCTION("""COMPUTED_VALUE"""),"s31*****g.scvs.ntpc.edu.tw")</f>
        <v>s31*****g.scvs.ntpc.edu.tw</v>
      </c>
      <c r="D254" s="9" t="str">
        <f>IFERROR(__xludf.DUMMYFUNCTION("""COMPUTED_VALUE"""),"新北市立三重高級商工職業學校")</f>
        <v>新北市立三重高級商工職業學校</v>
      </c>
      <c r="E254" s="9" t="str">
        <f>IFERROR(__xludf.DUMMYFUNCTION("""COMPUTED_VALUE"""),"板金科")</f>
        <v>板金科</v>
      </c>
      <c r="F254" s="9" t="str">
        <f>IFERROR(__xludf.DUMMYFUNCTION("""COMPUTED_VALUE"""),"二年級")</f>
        <v>二年級</v>
      </c>
      <c r="G254" s="9" t="str">
        <f>IFERROR(__xludf.DUMMYFUNCTION("""COMPUTED_VALUE"""),"獎狀")</f>
        <v>獎狀</v>
      </c>
      <c r="H254" s="9"/>
    </row>
    <row r="255">
      <c r="A255" s="13" t="s">
        <v>11</v>
      </c>
      <c r="B255" s="9" t="str">
        <f>IFERROR(__xludf.DUMMYFUNCTION("""COMPUTED_VALUE"""),"蔡O宸")</f>
        <v>蔡O宸</v>
      </c>
      <c r="C255" s="9" t="str">
        <f>IFERROR(__xludf.DUMMYFUNCTION("""COMPUTED_VALUE"""),"s31*****g.scvs.ntpc.edu.tw")</f>
        <v>s31*****g.scvs.ntpc.edu.tw</v>
      </c>
      <c r="D255" s="9" t="str">
        <f>IFERROR(__xludf.DUMMYFUNCTION("""COMPUTED_VALUE"""),"新北市立三重高級商工職業學校")</f>
        <v>新北市立三重高級商工職業學校</v>
      </c>
      <c r="E255" s="9" t="str">
        <f>IFERROR(__xludf.DUMMYFUNCTION("""COMPUTED_VALUE"""),"板金科")</f>
        <v>板金科</v>
      </c>
      <c r="F255" s="9" t="str">
        <f>IFERROR(__xludf.DUMMYFUNCTION("""COMPUTED_VALUE"""),"二年級")</f>
        <v>二年級</v>
      </c>
      <c r="G255" s="9" t="str">
        <f>IFERROR(__xludf.DUMMYFUNCTION("""COMPUTED_VALUE"""),"獎狀")</f>
        <v>獎狀</v>
      </c>
      <c r="H255" s="9"/>
    </row>
    <row r="256">
      <c r="A256" s="13" t="s">
        <v>11</v>
      </c>
      <c r="B256" s="9" t="str">
        <f>IFERROR(__xludf.DUMMYFUNCTION("""COMPUTED_VALUE"""),"林O宏")</f>
        <v>林O宏</v>
      </c>
      <c r="C256" s="9" t="str">
        <f>IFERROR(__xludf.DUMMYFUNCTION("""COMPUTED_VALUE"""),"s31*****g.scvs.ntpc.edu.tw")</f>
        <v>s31*****g.scvs.ntpc.edu.tw</v>
      </c>
      <c r="D256" s="9" t="str">
        <f>IFERROR(__xludf.DUMMYFUNCTION("""COMPUTED_VALUE"""),"新北市立三重高級商工職業學校")</f>
        <v>新北市立三重高級商工職業學校</v>
      </c>
      <c r="E256" s="9" t="str">
        <f>IFERROR(__xludf.DUMMYFUNCTION("""COMPUTED_VALUE"""),"板金科")</f>
        <v>板金科</v>
      </c>
      <c r="F256" s="9" t="str">
        <f>IFERROR(__xludf.DUMMYFUNCTION("""COMPUTED_VALUE"""),"二年級")</f>
        <v>二年級</v>
      </c>
      <c r="G256" s="9" t="str">
        <f>IFERROR(__xludf.DUMMYFUNCTION("""COMPUTED_VALUE"""),"獎狀")</f>
        <v>獎狀</v>
      </c>
      <c r="H256" s="9"/>
    </row>
    <row r="257">
      <c r="A257" s="13" t="s">
        <v>11</v>
      </c>
      <c r="B257" s="9" t="str">
        <f>IFERROR(__xludf.DUMMYFUNCTION("""COMPUTED_VALUE"""),"張O寬")</f>
        <v>張O寬</v>
      </c>
      <c r="C257" s="9" t="str">
        <f>IFERROR(__xludf.DUMMYFUNCTION("""COMPUTED_VALUE"""),"zha*****925@gmail.com")</f>
        <v>zha*****925@gmail.com</v>
      </c>
      <c r="D257" s="9" t="str">
        <f>IFERROR(__xludf.DUMMYFUNCTION("""COMPUTED_VALUE"""),"新北市立三重高級商工職業學校")</f>
        <v>新北市立三重高級商工職業學校</v>
      </c>
      <c r="E257" s="9" t="str">
        <f>IFERROR(__xludf.DUMMYFUNCTION("""COMPUTED_VALUE"""),"板金科")</f>
        <v>板金科</v>
      </c>
      <c r="F257" s="9" t="str">
        <f>IFERROR(__xludf.DUMMYFUNCTION("""COMPUTED_VALUE"""),"二年級")</f>
        <v>二年級</v>
      </c>
      <c r="G257" s="9" t="str">
        <f>IFERROR(__xludf.DUMMYFUNCTION("""COMPUTED_VALUE"""),"獎狀")</f>
        <v>獎狀</v>
      </c>
      <c r="H257" s="9"/>
    </row>
    <row r="258">
      <c r="A258" s="13" t="s">
        <v>11</v>
      </c>
      <c r="B258" s="9" t="str">
        <f>IFERROR(__xludf.DUMMYFUNCTION("""COMPUTED_VALUE"""),"王O程")</f>
        <v>王O程</v>
      </c>
      <c r="C258" s="9" t="str">
        <f>IFERROR(__xludf.DUMMYFUNCTION("""COMPUTED_VALUE"""),"w30*****tpc@mail.edu.tw")</f>
        <v>w30*****tpc@mail.edu.tw</v>
      </c>
      <c r="D258" s="9" t="str">
        <f>IFERROR(__xludf.DUMMYFUNCTION("""COMPUTED_VALUE"""),"新北市立三重高級商工職業學校")</f>
        <v>新北市立三重高級商工職業學校</v>
      </c>
      <c r="E258" s="9" t="str">
        <f>IFERROR(__xludf.DUMMYFUNCTION("""COMPUTED_VALUE"""),"板金科")</f>
        <v>板金科</v>
      </c>
      <c r="F258" s="9" t="str">
        <f>IFERROR(__xludf.DUMMYFUNCTION("""COMPUTED_VALUE"""),"二年級")</f>
        <v>二年級</v>
      </c>
      <c r="G258" s="9" t="str">
        <f>IFERROR(__xludf.DUMMYFUNCTION("""COMPUTED_VALUE"""),"獎狀")</f>
        <v>獎狀</v>
      </c>
      <c r="H258" s="9"/>
    </row>
    <row r="259">
      <c r="A259" s="13" t="s">
        <v>11</v>
      </c>
      <c r="B259" s="9" t="str">
        <f>IFERROR(__xludf.DUMMYFUNCTION("""COMPUTED_VALUE"""),"洪O喆")</f>
        <v>洪O喆</v>
      </c>
      <c r="C259" s="9" t="str">
        <f>IFERROR(__xludf.DUMMYFUNCTION("""COMPUTED_VALUE"""),"xsd*****54@apps.ntpc.edu.tw")</f>
        <v>xsd*****54@apps.ntpc.edu.tw</v>
      </c>
      <c r="D259" s="9" t="str">
        <f>IFERROR(__xludf.DUMMYFUNCTION("""COMPUTED_VALUE"""),"新北市立三重高級商工職業學校")</f>
        <v>新北市立三重高級商工職業學校</v>
      </c>
      <c r="E259" s="9" t="str">
        <f>IFERROR(__xludf.DUMMYFUNCTION("""COMPUTED_VALUE"""),"板金科")</f>
        <v>板金科</v>
      </c>
      <c r="F259" s="9" t="str">
        <f>IFERROR(__xludf.DUMMYFUNCTION("""COMPUTED_VALUE"""),"二年級")</f>
        <v>二年級</v>
      </c>
      <c r="G259" s="9" t="str">
        <f>IFERROR(__xludf.DUMMYFUNCTION("""COMPUTED_VALUE"""),"獎狀")</f>
        <v>獎狀</v>
      </c>
      <c r="H259" s="9"/>
    </row>
    <row r="260">
      <c r="A260" s="13" t="s">
        <v>11</v>
      </c>
      <c r="B260" s="9" t="str">
        <f>IFERROR(__xludf.DUMMYFUNCTION("""COMPUTED_VALUE"""),"陸O慧")</f>
        <v>陸O慧</v>
      </c>
      <c r="C260" s="9" t="str">
        <f>IFERROR(__xludf.DUMMYFUNCTION("""COMPUTED_VALUE"""),"any*****8@gmail.com")</f>
        <v>any*****8@gmail.com</v>
      </c>
      <c r="D260" s="9" t="str">
        <f>IFERROR(__xludf.DUMMYFUNCTION("""COMPUTED_VALUE"""),"新北市立三重高級商工職業學校")</f>
        <v>新北市立三重高級商工職業學校</v>
      </c>
      <c r="E260" s="9" t="str">
        <f>IFERROR(__xludf.DUMMYFUNCTION("""COMPUTED_VALUE"""),"板金科")</f>
        <v>板金科</v>
      </c>
      <c r="F260" s="9" t="str">
        <f>IFERROR(__xludf.DUMMYFUNCTION("""COMPUTED_VALUE"""),"二年級")</f>
        <v>二年級</v>
      </c>
      <c r="G260" s="9" t="str">
        <f>IFERROR(__xludf.DUMMYFUNCTION("""COMPUTED_VALUE"""),"■商品卡$200")</f>
        <v>■商品卡$200</v>
      </c>
      <c r="H260" s="9"/>
    </row>
    <row r="261">
      <c r="A261" s="13" t="s">
        <v>11</v>
      </c>
      <c r="B261" s="9" t="str">
        <f>IFERROR(__xludf.DUMMYFUNCTION("""COMPUTED_VALUE"""),"李O愷")</f>
        <v>李O愷</v>
      </c>
      <c r="C261" s="9" t="str">
        <f>IFERROR(__xludf.DUMMYFUNCTION("""COMPUTED_VALUE"""),"z10*****ntpc@mail.edu.tw")</f>
        <v>z10*****ntpc@mail.edu.tw</v>
      </c>
      <c r="D261" s="9" t="str">
        <f>IFERROR(__xludf.DUMMYFUNCTION("""COMPUTED_VALUE"""),"新北市立三重高級商工職業學校")</f>
        <v>新北市立三重高級商工職業學校</v>
      </c>
      <c r="E261" s="9" t="str">
        <f>IFERROR(__xludf.DUMMYFUNCTION("""COMPUTED_VALUE"""),"板金科")</f>
        <v>板金科</v>
      </c>
      <c r="F261" s="9" t="str">
        <f>IFERROR(__xludf.DUMMYFUNCTION("""COMPUTED_VALUE"""),"二年級")</f>
        <v>二年級</v>
      </c>
      <c r="G261" s="9" t="str">
        <f>IFERROR(__xludf.DUMMYFUNCTION("""COMPUTED_VALUE"""),"獎狀")</f>
        <v>獎狀</v>
      </c>
      <c r="H261" s="9"/>
    </row>
    <row r="262">
      <c r="A262" s="13" t="s">
        <v>11</v>
      </c>
      <c r="B262" s="9" t="str">
        <f>IFERROR(__xludf.DUMMYFUNCTION("""COMPUTED_VALUE"""),"吳O諄")</f>
        <v>吳O諄</v>
      </c>
      <c r="C262" s="9" t="str">
        <f>IFERROR(__xludf.DUMMYFUNCTION("""COMPUTED_VALUE"""),"wuz*****03@gmail.com")</f>
        <v>wuz*****03@gmail.com</v>
      </c>
      <c r="D262" s="9" t="str">
        <f>IFERROR(__xludf.DUMMYFUNCTION("""COMPUTED_VALUE"""),"新北市立三重高級商工職業學校")</f>
        <v>新北市立三重高級商工職業學校</v>
      </c>
      <c r="E262" s="9" t="str">
        <f>IFERROR(__xludf.DUMMYFUNCTION("""COMPUTED_VALUE"""),"板金科")</f>
        <v>板金科</v>
      </c>
      <c r="F262" s="9" t="str">
        <f>IFERROR(__xludf.DUMMYFUNCTION("""COMPUTED_VALUE"""),"二年級")</f>
        <v>二年級</v>
      </c>
      <c r="G262" s="9" t="str">
        <f>IFERROR(__xludf.DUMMYFUNCTION("""COMPUTED_VALUE"""),"獎狀")</f>
        <v>獎狀</v>
      </c>
      <c r="H262" s="9"/>
    </row>
    <row r="263">
      <c r="A263" s="13" t="s">
        <v>11</v>
      </c>
      <c r="B263" s="9" t="str">
        <f>IFERROR(__xludf.DUMMYFUNCTION("""COMPUTED_VALUE"""),"王O銓")</f>
        <v>王O銓</v>
      </c>
      <c r="C263" s="9" t="str">
        <f>IFERROR(__xludf.DUMMYFUNCTION("""COMPUTED_VALUE"""),"s31*****g.scvs.ntpc.edu.tw")</f>
        <v>s31*****g.scvs.ntpc.edu.tw</v>
      </c>
      <c r="D263" s="9" t="str">
        <f>IFERROR(__xludf.DUMMYFUNCTION("""COMPUTED_VALUE"""),"新北市立三重高級商工職業學校")</f>
        <v>新北市立三重高級商工職業學校</v>
      </c>
      <c r="E263" s="9" t="str">
        <f>IFERROR(__xludf.DUMMYFUNCTION("""COMPUTED_VALUE"""),"板金科")</f>
        <v>板金科</v>
      </c>
      <c r="F263" s="9" t="str">
        <f>IFERROR(__xludf.DUMMYFUNCTION("""COMPUTED_VALUE"""),"二年級")</f>
        <v>二年級</v>
      </c>
      <c r="G263" s="9" t="str">
        <f>IFERROR(__xludf.DUMMYFUNCTION("""COMPUTED_VALUE"""),"○商品卡$500")</f>
        <v>○商品卡$500</v>
      </c>
      <c r="H263" s="9"/>
    </row>
    <row r="264">
      <c r="A264" s="13" t="s">
        <v>11</v>
      </c>
      <c r="B264" s="9" t="str">
        <f>IFERROR(__xludf.DUMMYFUNCTION("""COMPUTED_VALUE"""),"陳O霖")</f>
        <v>陳O霖</v>
      </c>
      <c r="C264" s="9" t="str">
        <f>IFERROR(__xludf.DUMMYFUNCTION("""COMPUTED_VALUE"""),"kar*****0@mail.edu.tw")</f>
        <v>kar*****0@mail.edu.tw</v>
      </c>
      <c r="D264" s="9" t="str">
        <f>IFERROR(__xludf.DUMMYFUNCTION("""COMPUTED_VALUE"""),"新北市立三重高級商工職業學校")</f>
        <v>新北市立三重高級商工職業學校</v>
      </c>
      <c r="E264" s="9" t="str">
        <f>IFERROR(__xludf.DUMMYFUNCTION("""COMPUTED_VALUE"""),"板金科")</f>
        <v>板金科</v>
      </c>
      <c r="F264" s="9" t="str">
        <f>IFERROR(__xludf.DUMMYFUNCTION("""COMPUTED_VALUE"""),"二年級")</f>
        <v>二年級</v>
      </c>
      <c r="G264" s="9" t="str">
        <f>IFERROR(__xludf.DUMMYFUNCTION("""COMPUTED_VALUE"""),"獎狀")</f>
        <v>獎狀</v>
      </c>
      <c r="H264" s="9"/>
    </row>
    <row r="265">
      <c r="A265" s="13" t="s">
        <v>11</v>
      </c>
      <c r="B265" s="9" t="str">
        <f>IFERROR(__xludf.DUMMYFUNCTION("""COMPUTED_VALUE"""),"張O瑋")</f>
        <v>張O瑋</v>
      </c>
      <c r="C265" s="9" t="str">
        <f>IFERROR(__xludf.DUMMYFUNCTION("""COMPUTED_VALUE"""),"aa0*****7123@gmail.com")</f>
        <v>aa0*****7123@gmail.com</v>
      </c>
      <c r="D265" s="9" t="str">
        <f>IFERROR(__xludf.DUMMYFUNCTION("""COMPUTED_VALUE"""),"新北市立三重高級商工職業學校")</f>
        <v>新北市立三重高級商工職業學校</v>
      </c>
      <c r="E265" s="9" t="str">
        <f>IFERROR(__xludf.DUMMYFUNCTION("""COMPUTED_VALUE"""),"板金科")</f>
        <v>板金科</v>
      </c>
      <c r="F265" s="9" t="str">
        <f>IFERROR(__xludf.DUMMYFUNCTION("""COMPUTED_VALUE"""),"二年級")</f>
        <v>二年級</v>
      </c>
      <c r="G265" s="9" t="str">
        <f>IFERROR(__xludf.DUMMYFUNCTION("""COMPUTED_VALUE"""),"獎狀")</f>
        <v>獎狀</v>
      </c>
      <c r="H265" s="9"/>
    </row>
    <row r="266">
      <c r="A266" s="13" t="s">
        <v>11</v>
      </c>
      <c r="B266" s="9" t="str">
        <f>IFERROR(__xludf.DUMMYFUNCTION("""COMPUTED_VALUE"""),"黃O智")</f>
        <v>黃O智</v>
      </c>
      <c r="C266" s="9" t="str">
        <f>IFERROR(__xludf.DUMMYFUNCTION("""COMPUTED_VALUE"""),"wei*****1011@gmail.com")</f>
        <v>wei*****1011@gmail.com</v>
      </c>
      <c r="D266" s="9" t="str">
        <f>IFERROR(__xludf.DUMMYFUNCTION("""COMPUTED_VALUE"""),"新北市立三重高級商工職業學校")</f>
        <v>新北市立三重高級商工職業學校</v>
      </c>
      <c r="E266" s="9" t="str">
        <f>IFERROR(__xludf.DUMMYFUNCTION("""COMPUTED_VALUE"""),"板金科")</f>
        <v>板金科</v>
      </c>
      <c r="F266" s="9" t="str">
        <f>IFERROR(__xludf.DUMMYFUNCTION("""COMPUTED_VALUE"""),"二年級")</f>
        <v>二年級</v>
      </c>
      <c r="G266" s="9" t="str">
        <f>IFERROR(__xludf.DUMMYFUNCTION("""COMPUTED_VALUE"""),"獎狀")</f>
        <v>獎狀</v>
      </c>
      <c r="H266" s="9"/>
    </row>
    <row r="267">
      <c r="A267" s="13" t="s">
        <v>11</v>
      </c>
      <c r="B267" s="9" t="str">
        <f>IFERROR(__xludf.DUMMYFUNCTION("""COMPUTED_VALUE"""),"陳O澔")</f>
        <v>陳O澔</v>
      </c>
      <c r="C267" s="9" t="str">
        <f>IFERROR(__xludf.DUMMYFUNCTION("""COMPUTED_VALUE"""),"pin*****8@gmail.com")</f>
        <v>pin*****8@gmail.com</v>
      </c>
      <c r="D267" s="9" t="str">
        <f>IFERROR(__xludf.DUMMYFUNCTION("""COMPUTED_VALUE"""),"新北市立三重高級商工職業學校")</f>
        <v>新北市立三重高級商工職業學校</v>
      </c>
      <c r="E267" s="9" t="str">
        <f>IFERROR(__xludf.DUMMYFUNCTION("""COMPUTED_VALUE"""),"板金科")</f>
        <v>板金科</v>
      </c>
      <c r="F267" s="9" t="str">
        <f>IFERROR(__xludf.DUMMYFUNCTION("""COMPUTED_VALUE"""),"二年級")</f>
        <v>二年級</v>
      </c>
      <c r="G267" s="9" t="str">
        <f>IFERROR(__xludf.DUMMYFUNCTION("""COMPUTED_VALUE"""),"獎狀")</f>
        <v>獎狀</v>
      </c>
      <c r="H267" s="9"/>
    </row>
    <row r="268">
      <c r="A268" s="13" t="s">
        <v>11</v>
      </c>
      <c r="B268" s="9" t="str">
        <f>IFERROR(__xludf.DUMMYFUNCTION("""COMPUTED_VALUE"""),"張O勛")</f>
        <v>張O勛</v>
      </c>
      <c r="C268" s="9" t="str">
        <f>IFERROR(__xludf.DUMMYFUNCTION("""COMPUTED_VALUE"""),"yf9*****@gmail.com")</f>
        <v>yf9*****@gmail.com</v>
      </c>
      <c r="D268" s="9" t="str">
        <f>IFERROR(__xludf.DUMMYFUNCTION("""COMPUTED_VALUE"""),"新北市立三重高級商工職業學校")</f>
        <v>新北市立三重高級商工職業學校</v>
      </c>
      <c r="E268" s="9" t="str">
        <f>IFERROR(__xludf.DUMMYFUNCTION("""COMPUTED_VALUE"""),"板金科")</f>
        <v>板金科</v>
      </c>
      <c r="F268" s="9" t="str">
        <f>IFERROR(__xludf.DUMMYFUNCTION("""COMPUTED_VALUE"""),"二年級")</f>
        <v>二年級</v>
      </c>
      <c r="G268" s="9" t="str">
        <f>IFERROR(__xludf.DUMMYFUNCTION("""COMPUTED_VALUE"""),"獎狀")</f>
        <v>獎狀</v>
      </c>
      <c r="H268" s="9"/>
    </row>
    <row r="269">
      <c r="A269" s="13" t="s">
        <v>11</v>
      </c>
      <c r="B269" s="9" t="str">
        <f>IFERROR(__xludf.DUMMYFUNCTION("""COMPUTED_VALUE"""),"巫O丞")</f>
        <v>巫O丞</v>
      </c>
      <c r="C269" s="9" t="str">
        <f>IFERROR(__xludf.DUMMYFUNCTION("""COMPUTED_VALUE"""),"f49*****ail.edu.tw")</f>
        <v>f49*****ail.edu.tw</v>
      </c>
      <c r="D269" s="9" t="str">
        <f>IFERROR(__xludf.DUMMYFUNCTION("""COMPUTED_VALUE"""),"新北市立三重高級商工職業學校")</f>
        <v>新北市立三重高級商工職業學校</v>
      </c>
      <c r="E269" s="9" t="str">
        <f>IFERROR(__xludf.DUMMYFUNCTION("""COMPUTED_VALUE"""),"板金科")</f>
        <v>板金科</v>
      </c>
      <c r="F269" s="9" t="str">
        <f>IFERROR(__xludf.DUMMYFUNCTION("""COMPUTED_VALUE"""),"二年級")</f>
        <v>二年級</v>
      </c>
      <c r="G269" s="9" t="str">
        <f>IFERROR(__xludf.DUMMYFUNCTION("""COMPUTED_VALUE"""),"○商品卡$500")</f>
        <v>○商品卡$500</v>
      </c>
      <c r="H269" s="9"/>
    </row>
    <row r="270">
      <c r="A270" s="13" t="s">
        <v>11</v>
      </c>
      <c r="B270" s="9" t="str">
        <f>IFERROR(__xludf.DUMMYFUNCTION("""COMPUTED_VALUE"""),"楊O元")</f>
        <v>楊O元</v>
      </c>
      <c r="C270" s="9" t="str">
        <f>IFERROR(__xludf.DUMMYFUNCTION("""COMPUTED_VALUE"""),"yf1*****.ntpc@mail.edu.tw")</f>
        <v>yf1*****.ntpc@mail.edu.tw</v>
      </c>
      <c r="D270" s="9" t="str">
        <f>IFERROR(__xludf.DUMMYFUNCTION("""COMPUTED_VALUE"""),"新北市立三重高級商工職業學校")</f>
        <v>新北市立三重高級商工職業學校</v>
      </c>
      <c r="E270" s="9" t="str">
        <f>IFERROR(__xludf.DUMMYFUNCTION("""COMPUTED_VALUE"""),"板金科")</f>
        <v>板金科</v>
      </c>
      <c r="F270" s="9" t="str">
        <f>IFERROR(__xludf.DUMMYFUNCTION("""COMPUTED_VALUE"""),"二年級")</f>
        <v>二年級</v>
      </c>
      <c r="G270" s="9" t="str">
        <f>IFERROR(__xludf.DUMMYFUNCTION("""COMPUTED_VALUE"""),"獎狀")</f>
        <v>獎狀</v>
      </c>
      <c r="H270" s="9"/>
    </row>
    <row r="271">
      <c r="A271" s="13" t="s">
        <v>11</v>
      </c>
      <c r="B271" s="9" t="str">
        <f>IFERROR(__xludf.DUMMYFUNCTION("""COMPUTED_VALUE"""),"蕭O澤")</f>
        <v>蕭O澤</v>
      </c>
      <c r="C271" s="9" t="str">
        <f>IFERROR(__xludf.DUMMYFUNCTION("""COMPUTED_VALUE"""),"hsi*****untze@gmail.com")</f>
        <v>hsi*****untze@gmail.com</v>
      </c>
      <c r="D271" s="9" t="str">
        <f>IFERROR(__xludf.DUMMYFUNCTION("""COMPUTED_VALUE"""),"新北市立三重高級商工職業學校")</f>
        <v>新北市立三重高級商工職業學校</v>
      </c>
      <c r="E271" s="9" t="str">
        <f>IFERROR(__xludf.DUMMYFUNCTION("""COMPUTED_VALUE"""),"板金科")</f>
        <v>板金科</v>
      </c>
      <c r="F271" s="9" t="str">
        <f>IFERROR(__xludf.DUMMYFUNCTION("""COMPUTED_VALUE"""),"二年級")</f>
        <v>二年級</v>
      </c>
      <c r="G271" s="9" t="str">
        <f>IFERROR(__xludf.DUMMYFUNCTION("""COMPUTED_VALUE"""),"■商品卡$200")</f>
        <v>■商品卡$200</v>
      </c>
      <c r="H271" s="9"/>
    </row>
    <row r="272">
      <c r="A272" s="13" t="s">
        <v>11</v>
      </c>
      <c r="B272" s="9" t="str">
        <f>IFERROR(__xludf.DUMMYFUNCTION("""COMPUTED_VALUE"""),"陳O宇")</f>
        <v>陳O宇</v>
      </c>
      <c r="C272" s="9" t="str">
        <f>IFERROR(__xludf.DUMMYFUNCTION("""COMPUTED_VALUE"""),"s31*****g.scvs.ntpc.edu.tw")</f>
        <v>s31*****g.scvs.ntpc.edu.tw</v>
      </c>
      <c r="D272" s="9" t="str">
        <f>IFERROR(__xludf.DUMMYFUNCTION("""COMPUTED_VALUE"""),"新北市立三重高級商工職業學校")</f>
        <v>新北市立三重高級商工職業學校</v>
      </c>
      <c r="E272" s="9" t="str">
        <f>IFERROR(__xludf.DUMMYFUNCTION("""COMPUTED_VALUE"""),"板金科")</f>
        <v>板金科</v>
      </c>
      <c r="F272" s="9" t="str">
        <f>IFERROR(__xludf.DUMMYFUNCTION("""COMPUTED_VALUE"""),"二年級")</f>
        <v>二年級</v>
      </c>
      <c r="G272" s="9" t="str">
        <f>IFERROR(__xludf.DUMMYFUNCTION("""COMPUTED_VALUE"""),"獎狀")</f>
        <v>獎狀</v>
      </c>
      <c r="H272" s="9"/>
    </row>
    <row r="273">
      <c r="A273" s="13" t="s">
        <v>11</v>
      </c>
      <c r="B273" s="9" t="str">
        <f>IFERROR(__xludf.DUMMYFUNCTION("""COMPUTED_VALUE"""),"阮O祐")</f>
        <v>阮O祐</v>
      </c>
      <c r="C273" s="9" t="str">
        <f>IFERROR(__xludf.DUMMYFUNCTION("""COMPUTED_VALUE"""),"s31*****g.scvs.ntpc.edu.tw")</f>
        <v>s31*****g.scvs.ntpc.edu.tw</v>
      </c>
      <c r="D273" s="9" t="str">
        <f>IFERROR(__xludf.DUMMYFUNCTION("""COMPUTED_VALUE"""),"新北市立三重高級商工職業學校")</f>
        <v>新北市立三重高級商工職業學校</v>
      </c>
      <c r="E273" s="9" t="str">
        <f>IFERROR(__xludf.DUMMYFUNCTION("""COMPUTED_VALUE"""),"板金科")</f>
        <v>板金科</v>
      </c>
      <c r="F273" s="9" t="str">
        <f>IFERROR(__xludf.DUMMYFUNCTION("""COMPUTED_VALUE"""),"二年級")</f>
        <v>二年級</v>
      </c>
      <c r="G273" s="9" t="str">
        <f>IFERROR(__xludf.DUMMYFUNCTION("""COMPUTED_VALUE"""),"獎狀")</f>
        <v>獎狀</v>
      </c>
      <c r="H273" s="9"/>
    </row>
    <row r="274">
      <c r="A274" s="13" t="s">
        <v>11</v>
      </c>
      <c r="B274" s="9" t="str">
        <f>IFERROR(__xludf.DUMMYFUNCTION("""COMPUTED_VALUE"""),"謝O哲")</f>
        <v>謝O哲</v>
      </c>
      <c r="C274" s="9" t="str">
        <f>IFERROR(__xludf.DUMMYFUNCTION("""COMPUTED_VALUE"""),"f40*****ail.edu.tw")</f>
        <v>f40*****ail.edu.tw</v>
      </c>
      <c r="D274" s="9" t="str">
        <f>IFERROR(__xludf.DUMMYFUNCTION("""COMPUTED_VALUE"""),"新北市立三重高級商工職業學校")</f>
        <v>新北市立三重高級商工職業學校</v>
      </c>
      <c r="E274" s="9" t="str">
        <f>IFERROR(__xludf.DUMMYFUNCTION("""COMPUTED_VALUE"""),"板金科")</f>
        <v>板金科</v>
      </c>
      <c r="F274" s="9" t="str">
        <f>IFERROR(__xludf.DUMMYFUNCTION("""COMPUTED_VALUE"""),"二年級")</f>
        <v>二年級</v>
      </c>
      <c r="G274" s="9" t="str">
        <f>IFERROR(__xludf.DUMMYFUNCTION("""COMPUTED_VALUE"""),"獎狀")</f>
        <v>獎狀</v>
      </c>
      <c r="H274" s="9"/>
    </row>
    <row r="275">
      <c r="A275" s="13" t="s">
        <v>11</v>
      </c>
      <c r="B275" s="9" t="str">
        <f>IFERROR(__xludf.DUMMYFUNCTION("""COMPUTED_VALUE"""),"康O捷")</f>
        <v>康O捷</v>
      </c>
      <c r="C275" s="9" t="str">
        <f>IFERROR(__xludf.DUMMYFUNCTION("""COMPUTED_VALUE"""),"s21*****g.scvs.ntpc.edu.tw")</f>
        <v>s21*****g.scvs.ntpc.edu.tw</v>
      </c>
      <c r="D275" s="9" t="str">
        <f>IFERROR(__xludf.DUMMYFUNCTION("""COMPUTED_VALUE"""),"新北市立三重高級商工職業學校")</f>
        <v>新北市立三重高級商工職業學校</v>
      </c>
      <c r="E275" s="9" t="str">
        <f>IFERROR(__xludf.DUMMYFUNCTION("""COMPUTED_VALUE"""),"板金科")</f>
        <v>板金科</v>
      </c>
      <c r="F275" s="9" t="str">
        <f>IFERROR(__xludf.DUMMYFUNCTION("""COMPUTED_VALUE"""),"三年級")</f>
        <v>三年級</v>
      </c>
      <c r="G275" s="9" t="str">
        <f>IFERROR(__xludf.DUMMYFUNCTION("""COMPUTED_VALUE"""),"獎狀")</f>
        <v>獎狀</v>
      </c>
      <c r="H275" s="9"/>
    </row>
    <row r="276">
      <c r="A276" s="13" t="s">
        <v>11</v>
      </c>
      <c r="B276" s="9" t="str">
        <f>IFERROR(__xludf.DUMMYFUNCTION("""COMPUTED_VALUE"""),"游O逸")</f>
        <v>游O逸</v>
      </c>
      <c r="C276" s="9" t="str">
        <f>IFERROR(__xludf.DUMMYFUNCTION("""COMPUTED_VALUE"""),"eas*****90505@gmail.com")</f>
        <v>eas*****90505@gmail.com</v>
      </c>
      <c r="D276" s="9" t="str">
        <f>IFERROR(__xludf.DUMMYFUNCTION("""COMPUTED_VALUE"""),"新北市立三重高級商工職業學校")</f>
        <v>新北市立三重高級商工職業學校</v>
      </c>
      <c r="E276" s="9" t="str">
        <f>IFERROR(__xludf.DUMMYFUNCTION("""COMPUTED_VALUE"""),"板金科")</f>
        <v>板金科</v>
      </c>
      <c r="F276" s="9" t="str">
        <f>IFERROR(__xludf.DUMMYFUNCTION("""COMPUTED_VALUE"""),"三年級")</f>
        <v>三年級</v>
      </c>
      <c r="G276" s="9" t="str">
        <f>IFERROR(__xludf.DUMMYFUNCTION("""COMPUTED_VALUE"""),"獎狀")</f>
        <v>獎狀</v>
      </c>
      <c r="H276" s="9"/>
    </row>
    <row r="277">
      <c r="A277" s="13" t="s">
        <v>11</v>
      </c>
      <c r="B277" s="9" t="str">
        <f>IFERROR(__xludf.DUMMYFUNCTION("""COMPUTED_VALUE"""),"蔡O軒")</f>
        <v>蔡O軒</v>
      </c>
      <c r="C277" s="9" t="str">
        <f>IFERROR(__xludf.DUMMYFUNCTION("""COMPUTED_VALUE"""),"s11*****g.scvs.ntpc.edu.tw")</f>
        <v>s11*****g.scvs.ntpc.edu.tw</v>
      </c>
      <c r="D277" s="9" t="str">
        <f>IFERROR(__xludf.DUMMYFUNCTION("""COMPUTED_VALUE"""),"新北市立三重高級商工職業學校")</f>
        <v>新北市立三重高級商工職業學校</v>
      </c>
      <c r="E277" s="9" t="str">
        <f>IFERROR(__xludf.DUMMYFUNCTION("""COMPUTED_VALUE"""),"板金科")</f>
        <v>板金科</v>
      </c>
      <c r="F277" s="9" t="str">
        <f>IFERROR(__xludf.DUMMYFUNCTION("""COMPUTED_VALUE"""),"三年級")</f>
        <v>三年級</v>
      </c>
      <c r="G277" s="9" t="str">
        <f>IFERROR(__xludf.DUMMYFUNCTION("""COMPUTED_VALUE"""),"獎狀")</f>
        <v>獎狀</v>
      </c>
      <c r="H277" s="9"/>
    </row>
    <row r="278">
      <c r="A278" s="13" t="s">
        <v>11</v>
      </c>
      <c r="B278" s="9" t="str">
        <f>IFERROR(__xludf.DUMMYFUNCTION("""COMPUTED_VALUE"""),"王O婷")</f>
        <v>王O婷</v>
      </c>
      <c r="C278" s="9" t="str">
        <f>IFERROR(__xludf.DUMMYFUNCTION("""COMPUTED_VALUE"""),"ali*****1865304@gmail.com")</f>
        <v>ali*****1865304@gmail.com</v>
      </c>
      <c r="D278" s="9" t="str">
        <f>IFERROR(__xludf.DUMMYFUNCTION("""COMPUTED_VALUE"""),"新北市立三重高級商工職業學校")</f>
        <v>新北市立三重高級商工職業學校</v>
      </c>
      <c r="E278" s="9" t="str">
        <f>IFERROR(__xludf.DUMMYFUNCTION("""COMPUTED_VALUE"""),"商業經營科")</f>
        <v>商業經營科</v>
      </c>
      <c r="F278" s="9" t="str">
        <f>IFERROR(__xludf.DUMMYFUNCTION("""COMPUTED_VALUE"""),"二年級")</f>
        <v>二年級</v>
      </c>
      <c r="G278" s="9" t="str">
        <f>IFERROR(__xludf.DUMMYFUNCTION("""COMPUTED_VALUE"""),"獎狀")</f>
        <v>獎狀</v>
      </c>
      <c r="H278" s="9"/>
    </row>
    <row r="279">
      <c r="A279" s="13" t="s">
        <v>11</v>
      </c>
      <c r="B279" s="9" t="str">
        <f>IFERROR(__xludf.DUMMYFUNCTION("""COMPUTED_VALUE"""),"謝O希")</f>
        <v>謝O希</v>
      </c>
      <c r="C279" s="9" t="str">
        <f>IFERROR(__xludf.DUMMYFUNCTION("""COMPUTED_VALUE"""),"bhe*****79@mail.edu.tw")</f>
        <v>bhe*****79@mail.edu.tw</v>
      </c>
      <c r="D279" s="9" t="str">
        <f>IFERROR(__xludf.DUMMYFUNCTION("""COMPUTED_VALUE"""),"新北市立三重高級商工職業學校")</f>
        <v>新北市立三重高級商工職業學校</v>
      </c>
      <c r="E279" s="9" t="str">
        <f>IFERROR(__xludf.DUMMYFUNCTION("""COMPUTED_VALUE"""),"商業經營科")</f>
        <v>商業經營科</v>
      </c>
      <c r="F279" s="9" t="str">
        <f>IFERROR(__xludf.DUMMYFUNCTION("""COMPUTED_VALUE"""),"二年級")</f>
        <v>二年級</v>
      </c>
      <c r="G279" s="9" t="str">
        <f>IFERROR(__xludf.DUMMYFUNCTION("""COMPUTED_VALUE"""),"獎狀")</f>
        <v>獎狀</v>
      </c>
      <c r="H279" s="9"/>
    </row>
    <row r="280">
      <c r="A280" s="13" t="s">
        <v>11</v>
      </c>
      <c r="B280" s="9" t="str">
        <f>IFERROR(__xludf.DUMMYFUNCTION("""COMPUTED_VALUE"""),"蔡O棋")</f>
        <v>蔡O棋</v>
      </c>
      <c r="C280" s="9" t="str">
        <f>IFERROR(__xludf.DUMMYFUNCTION("""COMPUTED_VALUE"""),"s31*****g.scvs.ntpc.edu.tw")</f>
        <v>s31*****g.scvs.ntpc.edu.tw</v>
      </c>
      <c r="D280" s="9" t="str">
        <f>IFERROR(__xludf.DUMMYFUNCTION("""COMPUTED_VALUE"""),"新北市立三重高級商工職業學校")</f>
        <v>新北市立三重高級商工職業學校</v>
      </c>
      <c r="E280" s="9" t="str">
        <f>IFERROR(__xludf.DUMMYFUNCTION("""COMPUTED_VALUE"""),"商業經營科")</f>
        <v>商業經營科</v>
      </c>
      <c r="F280" s="9" t="str">
        <f>IFERROR(__xludf.DUMMYFUNCTION("""COMPUTED_VALUE"""),"二年級")</f>
        <v>二年級</v>
      </c>
      <c r="G280" s="9" t="str">
        <f>IFERROR(__xludf.DUMMYFUNCTION("""COMPUTED_VALUE"""),"獎狀")</f>
        <v>獎狀</v>
      </c>
      <c r="H280" s="9"/>
    </row>
    <row r="281">
      <c r="A281" s="13" t="s">
        <v>11</v>
      </c>
      <c r="B281" s="9" t="str">
        <f>IFERROR(__xludf.DUMMYFUNCTION("""COMPUTED_VALUE"""),"黃O瑜")</f>
        <v>黃O瑜</v>
      </c>
      <c r="C281" s="9" t="str">
        <f>IFERROR(__xludf.DUMMYFUNCTION("""COMPUTED_VALUE"""),"pae*****0@gmail.com")</f>
        <v>pae*****0@gmail.com</v>
      </c>
      <c r="D281" s="9" t="str">
        <f>IFERROR(__xludf.DUMMYFUNCTION("""COMPUTED_VALUE"""),"新北市立三重高級商工職業學校")</f>
        <v>新北市立三重高級商工職業學校</v>
      </c>
      <c r="E281" s="9" t="str">
        <f>IFERROR(__xludf.DUMMYFUNCTION("""COMPUTED_VALUE"""),"商業經營科")</f>
        <v>商業經營科</v>
      </c>
      <c r="F281" s="9" t="str">
        <f>IFERROR(__xludf.DUMMYFUNCTION("""COMPUTED_VALUE"""),"二年級")</f>
        <v>二年級</v>
      </c>
      <c r="G281" s="9" t="str">
        <f>IFERROR(__xludf.DUMMYFUNCTION("""COMPUTED_VALUE"""),"獎狀")</f>
        <v>獎狀</v>
      </c>
      <c r="H281" s="9"/>
    </row>
    <row r="282">
      <c r="A282" s="13" t="s">
        <v>11</v>
      </c>
      <c r="B282" s="9" t="str">
        <f>IFERROR(__xludf.DUMMYFUNCTION("""COMPUTED_VALUE"""),"林O靚")</f>
        <v>林O靚</v>
      </c>
      <c r="C282" s="9" t="str">
        <f>IFERROR(__xludf.DUMMYFUNCTION("""COMPUTED_VALUE"""),"s31*****g.scvs.ntpc.edu.tw")</f>
        <v>s31*****g.scvs.ntpc.edu.tw</v>
      </c>
      <c r="D282" s="9" t="str">
        <f>IFERROR(__xludf.DUMMYFUNCTION("""COMPUTED_VALUE"""),"新北市立三重高級商工職業學校")</f>
        <v>新北市立三重高級商工職業學校</v>
      </c>
      <c r="E282" s="9" t="str">
        <f>IFERROR(__xludf.DUMMYFUNCTION("""COMPUTED_VALUE"""),"商業經營科")</f>
        <v>商業經營科</v>
      </c>
      <c r="F282" s="9" t="str">
        <f>IFERROR(__xludf.DUMMYFUNCTION("""COMPUTED_VALUE"""),"二年級")</f>
        <v>二年級</v>
      </c>
      <c r="G282" s="9" t="str">
        <f>IFERROR(__xludf.DUMMYFUNCTION("""COMPUTED_VALUE"""),"獎狀")</f>
        <v>獎狀</v>
      </c>
      <c r="H282" s="9"/>
    </row>
    <row r="283">
      <c r="A283" s="13" t="s">
        <v>11</v>
      </c>
      <c r="B283" s="9" t="str">
        <f>IFERROR(__xludf.DUMMYFUNCTION("""COMPUTED_VALUE"""),"林O廷")</f>
        <v>林O廷</v>
      </c>
      <c r="C283" s="9" t="str">
        <f>IFERROR(__xludf.DUMMYFUNCTION("""COMPUTED_VALUE"""),"s31*****g.scvs.ntpc.edu.tw")</f>
        <v>s31*****g.scvs.ntpc.edu.tw</v>
      </c>
      <c r="D283" s="9" t="str">
        <f>IFERROR(__xludf.DUMMYFUNCTION("""COMPUTED_VALUE"""),"新北市立三重高級商工職業學校")</f>
        <v>新北市立三重高級商工職業學校</v>
      </c>
      <c r="E283" s="9" t="str">
        <f>IFERROR(__xludf.DUMMYFUNCTION("""COMPUTED_VALUE"""),"商業經營科")</f>
        <v>商業經營科</v>
      </c>
      <c r="F283" s="9" t="str">
        <f>IFERROR(__xludf.DUMMYFUNCTION("""COMPUTED_VALUE"""),"二年級")</f>
        <v>二年級</v>
      </c>
      <c r="G283" s="9" t="str">
        <f>IFERROR(__xludf.DUMMYFUNCTION("""COMPUTED_VALUE"""),"獎狀")</f>
        <v>獎狀</v>
      </c>
      <c r="H283" s="9"/>
    </row>
    <row r="284">
      <c r="A284" s="13" t="s">
        <v>11</v>
      </c>
      <c r="B284" s="9" t="str">
        <f>IFERROR(__xludf.DUMMYFUNCTION("""COMPUTED_VALUE"""),"黃O惠")</f>
        <v>黃O惠</v>
      </c>
      <c r="C284" s="9" t="str">
        <f>IFERROR(__xludf.DUMMYFUNCTION("""COMPUTED_VALUE"""),"s31*****g.scvs.ntpc.edu.tw")</f>
        <v>s31*****g.scvs.ntpc.edu.tw</v>
      </c>
      <c r="D284" s="9" t="str">
        <f>IFERROR(__xludf.DUMMYFUNCTION("""COMPUTED_VALUE"""),"新北市立三重高級商工職業學校")</f>
        <v>新北市立三重高級商工職業學校</v>
      </c>
      <c r="E284" s="9" t="str">
        <f>IFERROR(__xludf.DUMMYFUNCTION("""COMPUTED_VALUE"""),"商業經營科")</f>
        <v>商業經營科</v>
      </c>
      <c r="F284" s="9" t="str">
        <f>IFERROR(__xludf.DUMMYFUNCTION("""COMPUTED_VALUE"""),"二年級")</f>
        <v>二年級</v>
      </c>
      <c r="G284" s="9" t="str">
        <f>IFERROR(__xludf.DUMMYFUNCTION("""COMPUTED_VALUE"""),"獎狀")</f>
        <v>獎狀</v>
      </c>
      <c r="H284" s="9"/>
    </row>
    <row r="285">
      <c r="A285" s="13" t="s">
        <v>11</v>
      </c>
      <c r="B285" s="9" t="str">
        <f>IFERROR(__xludf.DUMMYFUNCTION("""COMPUTED_VALUE"""),"林O臻")</f>
        <v>林O臻</v>
      </c>
      <c r="C285" s="9" t="str">
        <f>IFERROR(__xludf.DUMMYFUNCTION("""COMPUTED_VALUE"""),"kit*****023@gmail.com")</f>
        <v>kit*****023@gmail.com</v>
      </c>
      <c r="D285" s="9" t="str">
        <f>IFERROR(__xludf.DUMMYFUNCTION("""COMPUTED_VALUE"""),"新北市立三重高級商工職業學校")</f>
        <v>新北市立三重高級商工職業學校</v>
      </c>
      <c r="E285" s="9" t="str">
        <f>IFERROR(__xludf.DUMMYFUNCTION("""COMPUTED_VALUE"""),"商業經營科")</f>
        <v>商業經營科</v>
      </c>
      <c r="F285" s="9" t="str">
        <f>IFERROR(__xludf.DUMMYFUNCTION("""COMPUTED_VALUE"""),"二年級")</f>
        <v>二年級</v>
      </c>
      <c r="G285" s="9" t="str">
        <f>IFERROR(__xludf.DUMMYFUNCTION("""COMPUTED_VALUE"""),"獎狀")</f>
        <v>獎狀</v>
      </c>
      <c r="H285" s="9"/>
    </row>
    <row r="286">
      <c r="A286" s="13" t="s">
        <v>11</v>
      </c>
      <c r="B286" s="9" t="str">
        <f>IFERROR(__xludf.DUMMYFUNCTION("""COMPUTED_VALUE"""),"蕭O心")</f>
        <v>蕭O心</v>
      </c>
      <c r="C286" s="9" t="str">
        <f>IFERROR(__xludf.DUMMYFUNCTION("""COMPUTED_VALUE"""),"s31*****g.scvs.ntpc.edu.tw")</f>
        <v>s31*****g.scvs.ntpc.edu.tw</v>
      </c>
      <c r="D286" s="9" t="str">
        <f>IFERROR(__xludf.DUMMYFUNCTION("""COMPUTED_VALUE"""),"新北市立三重高級商工職業學校")</f>
        <v>新北市立三重高級商工職業學校</v>
      </c>
      <c r="E286" s="9" t="str">
        <f>IFERROR(__xludf.DUMMYFUNCTION("""COMPUTED_VALUE"""),"商業經營科")</f>
        <v>商業經營科</v>
      </c>
      <c r="F286" s="9" t="str">
        <f>IFERROR(__xludf.DUMMYFUNCTION("""COMPUTED_VALUE"""),"二年級")</f>
        <v>二年級</v>
      </c>
      <c r="G286" s="9" t="str">
        <f>IFERROR(__xludf.DUMMYFUNCTION("""COMPUTED_VALUE"""),"■商品卡$200")</f>
        <v>■商品卡$200</v>
      </c>
      <c r="H286" s="9"/>
    </row>
    <row r="287">
      <c r="A287" s="13" t="s">
        <v>11</v>
      </c>
      <c r="B287" s="9" t="str">
        <f>IFERROR(__xludf.DUMMYFUNCTION("""COMPUTED_VALUE"""),"陳O佑")</f>
        <v>陳O佑</v>
      </c>
      <c r="C287" s="9" t="str">
        <f>IFERROR(__xludf.DUMMYFUNCTION("""COMPUTED_VALUE"""),"g94*****7@gmail.com")</f>
        <v>g94*****7@gmail.com</v>
      </c>
      <c r="D287" s="9" t="str">
        <f>IFERROR(__xludf.DUMMYFUNCTION("""COMPUTED_VALUE"""),"新北市立三重高級商工職業學校")</f>
        <v>新北市立三重高級商工職業學校</v>
      </c>
      <c r="E287" s="9" t="str">
        <f>IFERROR(__xludf.DUMMYFUNCTION("""COMPUTED_VALUE"""),"商業經營科")</f>
        <v>商業經營科</v>
      </c>
      <c r="F287" s="9" t="str">
        <f>IFERROR(__xludf.DUMMYFUNCTION("""COMPUTED_VALUE"""),"二年級")</f>
        <v>二年級</v>
      </c>
      <c r="G287" s="9" t="str">
        <f>IFERROR(__xludf.DUMMYFUNCTION("""COMPUTED_VALUE"""),"獎狀")</f>
        <v>獎狀</v>
      </c>
      <c r="H287" s="9"/>
    </row>
    <row r="288">
      <c r="A288" s="13" t="s">
        <v>11</v>
      </c>
      <c r="B288" s="9" t="str">
        <f>IFERROR(__xludf.DUMMYFUNCTION("""COMPUTED_VALUE"""),"謝O彤")</f>
        <v>謝O彤</v>
      </c>
      <c r="C288" s="9" t="str">
        <f>IFERROR(__xludf.DUMMYFUNCTION("""COMPUTED_VALUE"""),"s31*****g.scvs.ntpc.edu.tw")</f>
        <v>s31*****g.scvs.ntpc.edu.tw</v>
      </c>
      <c r="D288" s="9" t="str">
        <f>IFERROR(__xludf.DUMMYFUNCTION("""COMPUTED_VALUE"""),"新北市立三重高級商工職業學校")</f>
        <v>新北市立三重高級商工職業學校</v>
      </c>
      <c r="E288" s="9" t="str">
        <f>IFERROR(__xludf.DUMMYFUNCTION("""COMPUTED_VALUE"""),"商業經營科")</f>
        <v>商業經營科</v>
      </c>
      <c r="F288" s="9" t="str">
        <f>IFERROR(__xludf.DUMMYFUNCTION("""COMPUTED_VALUE"""),"二年級")</f>
        <v>二年級</v>
      </c>
      <c r="G288" s="9" t="str">
        <f>IFERROR(__xludf.DUMMYFUNCTION("""COMPUTED_VALUE"""),"獎狀")</f>
        <v>獎狀</v>
      </c>
      <c r="H288" s="9"/>
    </row>
    <row r="289">
      <c r="A289" s="13" t="s">
        <v>11</v>
      </c>
      <c r="B289" s="9" t="str">
        <f>IFERROR(__xludf.DUMMYFUNCTION("""COMPUTED_VALUE"""),"黃O紋")</f>
        <v>黃O紋</v>
      </c>
      <c r="C289" s="9" t="str">
        <f>IFERROR(__xludf.DUMMYFUNCTION("""COMPUTED_VALUE"""),"s31*****g.scvs.ntpc.edu.tw")</f>
        <v>s31*****g.scvs.ntpc.edu.tw</v>
      </c>
      <c r="D289" s="9" t="str">
        <f>IFERROR(__xludf.DUMMYFUNCTION("""COMPUTED_VALUE"""),"新北市立三重高級商工職業學校")</f>
        <v>新北市立三重高級商工職業學校</v>
      </c>
      <c r="E289" s="9" t="str">
        <f>IFERROR(__xludf.DUMMYFUNCTION("""COMPUTED_VALUE"""),"商業經營科")</f>
        <v>商業經營科</v>
      </c>
      <c r="F289" s="9" t="str">
        <f>IFERROR(__xludf.DUMMYFUNCTION("""COMPUTED_VALUE"""),"二年級")</f>
        <v>二年級</v>
      </c>
      <c r="G289" s="9" t="str">
        <f>IFERROR(__xludf.DUMMYFUNCTION("""COMPUTED_VALUE"""),"獎狀")</f>
        <v>獎狀</v>
      </c>
      <c r="H289" s="9"/>
    </row>
    <row r="290">
      <c r="A290" s="13" t="s">
        <v>11</v>
      </c>
      <c r="B290" s="9" t="str">
        <f>IFERROR(__xludf.DUMMYFUNCTION("""COMPUTED_VALUE"""),"施O君")</f>
        <v>施O君</v>
      </c>
      <c r="C290" s="9" t="str">
        <f>IFERROR(__xludf.DUMMYFUNCTION("""COMPUTED_VALUE"""),"s31*****g.scvs.ntpc.edu.tw")</f>
        <v>s31*****g.scvs.ntpc.edu.tw</v>
      </c>
      <c r="D290" s="9" t="str">
        <f>IFERROR(__xludf.DUMMYFUNCTION("""COMPUTED_VALUE"""),"新北市立三重高級商工職業學校")</f>
        <v>新北市立三重高級商工職業學校</v>
      </c>
      <c r="E290" s="9" t="str">
        <f>IFERROR(__xludf.DUMMYFUNCTION("""COMPUTED_VALUE"""),"商業經營科")</f>
        <v>商業經營科</v>
      </c>
      <c r="F290" s="9" t="str">
        <f>IFERROR(__xludf.DUMMYFUNCTION("""COMPUTED_VALUE"""),"二年級")</f>
        <v>二年級</v>
      </c>
      <c r="G290" s="9" t="str">
        <f>IFERROR(__xludf.DUMMYFUNCTION("""COMPUTED_VALUE"""),"獎狀")</f>
        <v>獎狀</v>
      </c>
      <c r="H290" s="9"/>
    </row>
    <row r="291">
      <c r="A291" s="13" t="s">
        <v>11</v>
      </c>
      <c r="B291" s="9" t="str">
        <f>IFERROR(__xludf.DUMMYFUNCTION("""COMPUTED_VALUE"""),"秦O婕")</f>
        <v>秦O婕</v>
      </c>
      <c r="C291" s="9" t="str">
        <f>IFERROR(__xludf.DUMMYFUNCTION("""COMPUTED_VALUE"""),"s31*****g.scvs.ntpc.edu.tw")</f>
        <v>s31*****g.scvs.ntpc.edu.tw</v>
      </c>
      <c r="D291" s="9" t="str">
        <f>IFERROR(__xludf.DUMMYFUNCTION("""COMPUTED_VALUE"""),"新北市立三重高級商工職業學校")</f>
        <v>新北市立三重高級商工職業學校</v>
      </c>
      <c r="E291" s="9" t="str">
        <f>IFERROR(__xludf.DUMMYFUNCTION("""COMPUTED_VALUE"""),"商業經營科")</f>
        <v>商業經營科</v>
      </c>
      <c r="F291" s="9" t="str">
        <f>IFERROR(__xludf.DUMMYFUNCTION("""COMPUTED_VALUE"""),"二年級")</f>
        <v>二年級</v>
      </c>
      <c r="G291" s="9" t="str">
        <f>IFERROR(__xludf.DUMMYFUNCTION("""COMPUTED_VALUE"""),"獎狀")</f>
        <v>獎狀</v>
      </c>
      <c r="H291" s="9"/>
    </row>
    <row r="292">
      <c r="A292" s="13" t="s">
        <v>11</v>
      </c>
      <c r="B292" s="9" t="str">
        <f>IFERROR(__xludf.DUMMYFUNCTION("""COMPUTED_VALUE"""),"蔡O茹")</f>
        <v>蔡O茹</v>
      </c>
      <c r="C292" s="9" t="str">
        <f>IFERROR(__xludf.DUMMYFUNCTION("""COMPUTED_VALUE"""),"S31*****g.scvs.ntpc.edu.tw")</f>
        <v>S31*****g.scvs.ntpc.edu.tw</v>
      </c>
      <c r="D292" s="9" t="str">
        <f>IFERROR(__xludf.DUMMYFUNCTION("""COMPUTED_VALUE"""),"新北市立三重高級商工職業學校")</f>
        <v>新北市立三重高級商工職業學校</v>
      </c>
      <c r="E292" s="9" t="str">
        <f>IFERROR(__xludf.DUMMYFUNCTION("""COMPUTED_VALUE"""),"商業經營科")</f>
        <v>商業經營科</v>
      </c>
      <c r="F292" s="9" t="str">
        <f>IFERROR(__xludf.DUMMYFUNCTION("""COMPUTED_VALUE"""),"二年級")</f>
        <v>二年級</v>
      </c>
      <c r="G292" s="9" t="str">
        <f>IFERROR(__xludf.DUMMYFUNCTION("""COMPUTED_VALUE"""),"★商品卡$1000")</f>
        <v>★商品卡$1000</v>
      </c>
      <c r="H292" s="9"/>
    </row>
    <row r="293">
      <c r="A293" s="13" t="s">
        <v>11</v>
      </c>
      <c r="B293" s="9" t="str">
        <f>IFERROR(__xludf.DUMMYFUNCTION("""COMPUTED_VALUE"""),"李O皓")</f>
        <v>李O皓</v>
      </c>
      <c r="C293" s="9" t="str">
        <f>IFERROR(__xludf.DUMMYFUNCTION("""COMPUTED_VALUE"""),"s31*****g.scvs.ntpc.edu.tw")</f>
        <v>s31*****g.scvs.ntpc.edu.tw</v>
      </c>
      <c r="D293" s="9" t="str">
        <f>IFERROR(__xludf.DUMMYFUNCTION("""COMPUTED_VALUE"""),"新北市立三重高級商工職業學校")</f>
        <v>新北市立三重高級商工職業學校</v>
      </c>
      <c r="E293" s="9" t="str">
        <f>IFERROR(__xludf.DUMMYFUNCTION("""COMPUTED_VALUE"""),"商業經營科")</f>
        <v>商業經營科</v>
      </c>
      <c r="F293" s="9" t="str">
        <f>IFERROR(__xludf.DUMMYFUNCTION("""COMPUTED_VALUE"""),"二年級")</f>
        <v>二年級</v>
      </c>
      <c r="G293" s="9" t="str">
        <f>IFERROR(__xludf.DUMMYFUNCTION("""COMPUTED_VALUE"""),"獎狀")</f>
        <v>獎狀</v>
      </c>
      <c r="H293" s="9"/>
    </row>
    <row r="294">
      <c r="A294" s="13" t="s">
        <v>11</v>
      </c>
      <c r="B294" s="9" t="str">
        <f>IFERROR(__xludf.DUMMYFUNCTION("""COMPUTED_VALUE"""),"陳O臻")</f>
        <v>陳O臻</v>
      </c>
      <c r="C294" s="9" t="str">
        <f>IFERROR(__xludf.DUMMYFUNCTION("""COMPUTED_VALUE"""),"poi*****98@gmail.com")</f>
        <v>poi*****98@gmail.com</v>
      </c>
      <c r="D294" s="9" t="str">
        <f>IFERROR(__xludf.DUMMYFUNCTION("""COMPUTED_VALUE"""),"新北市立三重高級商工職業學校")</f>
        <v>新北市立三重高級商工職業學校</v>
      </c>
      <c r="E294" s="9" t="str">
        <f>IFERROR(__xludf.DUMMYFUNCTION("""COMPUTED_VALUE"""),"商業經營科")</f>
        <v>商業經營科</v>
      </c>
      <c r="F294" s="9" t="str">
        <f>IFERROR(__xludf.DUMMYFUNCTION("""COMPUTED_VALUE"""),"二年級")</f>
        <v>二年級</v>
      </c>
      <c r="G294" s="9" t="str">
        <f>IFERROR(__xludf.DUMMYFUNCTION("""COMPUTED_VALUE"""),"獎狀")</f>
        <v>獎狀</v>
      </c>
      <c r="H294" s="9"/>
    </row>
    <row r="295">
      <c r="A295" s="13" t="s">
        <v>11</v>
      </c>
      <c r="B295" s="9" t="str">
        <f>IFERROR(__xludf.DUMMYFUNCTION("""COMPUTED_VALUE"""),"李O樺")</f>
        <v>李O樺</v>
      </c>
      <c r="C295" s="9" t="str">
        <f>IFERROR(__xludf.DUMMYFUNCTION("""COMPUTED_VALUE"""),"s31*****g.scvs.ntpc.edu.tw")</f>
        <v>s31*****g.scvs.ntpc.edu.tw</v>
      </c>
      <c r="D295" s="9" t="str">
        <f>IFERROR(__xludf.DUMMYFUNCTION("""COMPUTED_VALUE"""),"新北市立三重高級商工職業學校")</f>
        <v>新北市立三重高級商工職業學校</v>
      </c>
      <c r="E295" s="9" t="str">
        <f>IFERROR(__xludf.DUMMYFUNCTION("""COMPUTED_VALUE"""),"商業經營科")</f>
        <v>商業經營科</v>
      </c>
      <c r="F295" s="9" t="str">
        <f>IFERROR(__xludf.DUMMYFUNCTION("""COMPUTED_VALUE"""),"二年級")</f>
        <v>二年級</v>
      </c>
      <c r="G295" s="9" t="str">
        <f>IFERROR(__xludf.DUMMYFUNCTION("""COMPUTED_VALUE"""),"★商品卡$1000")</f>
        <v>★商品卡$1000</v>
      </c>
      <c r="H295" s="9"/>
    </row>
    <row r="296">
      <c r="A296" s="13" t="s">
        <v>11</v>
      </c>
      <c r="B296" s="9" t="str">
        <f>IFERROR(__xludf.DUMMYFUNCTION("""COMPUTED_VALUE"""),"游O敏")</f>
        <v>游O敏</v>
      </c>
      <c r="C296" s="9" t="str">
        <f>IFERROR(__xludf.DUMMYFUNCTION("""COMPUTED_VALUE"""),"yim*****8@gmail.com")</f>
        <v>yim*****8@gmail.com</v>
      </c>
      <c r="D296" s="9" t="str">
        <f>IFERROR(__xludf.DUMMYFUNCTION("""COMPUTED_VALUE"""),"新北市立三重高級商工職業學校")</f>
        <v>新北市立三重高級商工職業學校</v>
      </c>
      <c r="E296" s="9" t="str">
        <f>IFERROR(__xludf.DUMMYFUNCTION("""COMPUTED_VALUE"""),"商業經營科")</f>
        <v>商業經營科</v>
      </c>
      <c r="F296" s="9" t="str">
        <f>IFERROR(__xludf.DUMMYFUNCTION("""COMPUTED_VALUE"""),"二年級")</f>
        <v>二年級</v>
      </c>
      <c r="G296" s="9" t="str">
        <f>IFERROR(__xludf.DUMMYFUNCTION("""COMPUTED_VALUE"""),"獎狀")</f>
        <v>獎狀</v>
      </c>
      <c r="H296" s="9"/>
    </row>
    <row r="297">
      <c r="A297" s="13" t="s">
        <v>11</v>
      </c>
      <c r="B297" s="9" t="str">
        <f>IFERROR(__xludf.DUMMYFUNCTION("""COMPUTED_VALUE"""),"林O均")</f>
        <v>林O均</v>
      </c>
      <c r="C297" s="9" t="str">
        <f>IFERROR(__xludf.DUMMYFUNCTION("""COMPUTED_VALUE"""),"fic*****.ntpc@mail.edu.tw")</f>
        <v>fic*****.ntpc@mail.edu.tw</v>
      </c>
      <c r="D297" s="9" t="str">
        <f>IFERROR(__xludf.DUMMYFUNCTION("""COMPUTED_VALUE"""),"新北市立三重高級商工職業學校")</f>
        <v>新北市立三重高級商工職業學校</v>
      </c>
      <c r="E297" s="9" t="str">
        <f>IFERROR(__xludf.DUMMYFUNCTION("""COMPUTED_VALUE"""),"商業經營科")</f>
        <v>商業經營科</v>
      </c>
      <c r="F297" s="9" t="str">
        <f>IFERROR(__xludf.DUMMYFUNCTION("""COMPUTED_VALUE"""),"三年級")</f>
        <v>三年級</v>
      </c>
      <c r="G297" s="9" t="str">
        <f>IFERROR(__xludf.DUMMYFUNCTION("""COMPUTED_VALUE"""),"獎狀")</f>
        <v>獎狀</v>
      </c>
      <c r="H297" s="9"/>
    </row>
    <row r="298">
      <c r="A298" s="13" t="s">
        <v>11</v>
      </c>
      <c r="B298" s="9" t="str">
        <f>IFERROR(__xludf.DUMMYFUNCTION("""COMPUTED_VALUE"""),"曾O婷")</f>
        <v>曾O婷</v>
      </c>
      <c r="C298" s="9" t="str">
        <f>IFERROR(__xludf.DUMMYFUNCTION("""COMPUTED_VALUE"""),"s40*****es106@apps.ntpc.edu.tw")</f>
        <v>s40*****es106@apps.ntpc.edu.tw</v>
      </c>
      <c r="D298" s="9" t="str">
        <f>IFERROR(__xludf.DUMMYFUNCTION("""COMPUTED_VALUE"""),"新北市立三重高級商工職業學校")</f>
        <v>新北市立三重高級商工職業學校</v>
      </c>
      <c r="E298" s="9" t="str">
        <f>IFERROR(__xludf.DUMMYFUNCTION("""COMPUTED_VALUE"""),"商業經營科")</f>
        <v>商業經營科</v>
      </c>
      <c r="F298" s="9" t="str">
        <f>IFERROR(__xludf.DUMMYFUNCTION("""COMPUTED_VALUE"""),"三年級")</f>
        <v>三年級</v>
      </c>
      <c r="G298" s="9" t="str">
        <f>IFERROR(__xludf.DUMMYFUNCTION("""COMPUTED_VALUE"""),"獎狀")</f>
        <v>獎狀</v>
      </c>
      <c r="H298" s="9"/>
    </row>
    <row r="299">
      <c r="A299" s="13" t="s">
        <v>11</v>
      </c>
      <c r="B299" s="9" t="str">
        <f>IFERROR(__xludf.DUMMYFUNCTION("""COMPUTED_VALUE"""),"李O倫")</f>
        <v>李O倫</v>
      </c>
      <c r="C299" s="9" t="str">
        <f>IFERROR(__xludf.DUMMYFUNCTION("""COMPUTED_VALUE"""),"s21*****g.scvs.ntpc.edu.tw")</f>
        <v>s21*****g.scvs.ntpc.edu.tw</v>
      </c>
      <c r="D299" s="9" t="str">
        <f>IFERROR(__xludf.DUMMYFUNCTION("""COMPUTED_VALUE"""),"新北市立三重高級商工職業學校")</f>
        <v>新北市立三重高級商工職業學校</v>
      </c>
      <c r="E299" s="9" t="str">
        <f>IFERROR(__xludf.DUMMYFUNCTION("""COMPUTED_VALUE"""),"商業經營科")</f>
        <v>商業經營科</v>
      </c>
      <c r="F299" s="9" t="str">
        <f>IFERROR(__xludf.DUMMYFUNCTION("""COMPUTED_VALUE"""),"三年級")</f>
        <v>三年級</v>
      </c>
      <c r="G299" s="9" t="str">
        <f>IFERROR(__xludf.DUMMYFUNCTION("""COMPUTED_VALUE"""),"獎狀")</f>
        <v>獎狀</v>
      </c>
      <c r="H299" s="9"/>
    </row>
    <row r="300">
      <c r="A300" s="13" t="s">
        <v>11</v>
      </c>
      <c r="B300" s="9" t="str">
        <f>IFERROR(__xludf.DUMMYFUNCTION("""COMPUTED_VALUE"""),"楊O銓")</f>
        <v>楊O銓</v>
      </c>
      <c r="C300" s="9" t="str">
        <f>IFERROR(__xludf.DUMMYFUNCTION("""COMPUTED_VALUE"""),"s21*****g.scvs.ntpc.edu.tw")</f>
        <v>s21*****g.scvs.ntpc.edu.tw</v>
      </c>
      <c r="D300" s="9" t="str">
        <f>IFERROR(__xludf.DUMMYFUNCTION("""COMPUTED_VALUE"""),"新北市立三重高級商工職業學校")</f>
        <v>新北市立三重高級商工職業學校</v>
      </c>
      <c r="E300" s="9" t="str">
        <f>IFERROR(__xludf.DUMMYFUNCTION("""COMPUTED_VALUE"""),"商業經營科")</f>
        <v>商業經營科</v>
      </c>
      <c r="F300" s="9" t="str">
        <f>IFERROR(__xludf.DUMMYFUNCTION("""COMPUTED_VALUE"""),"三年級")</f>
        <v>三年級</v>
      </c>
      <c r="G300" s="9" t="str">
        <f>IFERROR(__xludf.DUMMYFUNCTION("""COMPUTED_VALUE"""),"○商品卡$500")</f>
        <v>○商品卡$500</v>
      </c>
      <c r="H300" s="9"/>
    </row>
    <row r="301">
      <c r="A301" s="13" t="s">
        <v>11</v>
      </c>
      <c r="B301" s="9" t="str">
        <f>IFERROR(__xludf.DUMMYFUNCTION("""COMPUTED_VALUE"""),"蔡O珊")</f>
        <v>蔡O珊</v>
      </c>
      <c r="C301" s="9" t="str">
        <f>IFERROR(__xludf.DUMMYFUNCTION("""COMPUTED_VALUE"""),"s21*****g.scvs.ntpc.edu.tw")</f>
        <v>s21*****g.scvs.ntpc.edu.tw</v>
      </c>
      <c r="D301" s="9" t="str">
        <f>IFERROR(__xludf.DUMMYFUNCTION("""COMPUTED_VALUE"""),"新北市立三重高級商工職業學校")</f>
        <v>新北市立三重高級商工職業學校</v>
      </c>
      <c r="E301" s="9" t="str">
        <f>IFERROR(__xludf.DUMMYFUNCTION("""COMPUTED_VALUE"""),"商業經營科")</f>
        <v>商業經營科</v>
      </c>
      <c r="F301" s="9" t="str">
        <f>IFERROR(__xludf.DUMMYFUNCTION("""COMPUTED_VALUE"""),"三年級")</f>
        <v>三年級</v>
      </c>
      <c r="G301" s="9" t="str">
        <f>IFERROR(__xludf.DUMMYFUNCTION("""COMPUTED_VALUE"""),"獎狀")</f>
        <v>獎狀</v>
      </c>
      <c r="H301" s="9"/>
    </row>
    <row r="302">
      <c r="A302" s="13" t="s">
        <v>11</v>
      </c>
      <c r="B302" s="9" t="str">
        <f>IFERROR(__xludf.DUMMYFUNCTION("""COMPUTED_VALUE"""),"吳O瑜")</f>
        <v>吳O瑜</v>
      </c>
      <c r="C302" s="9" t="str">
        <f>IFERROR(__xludf.DUMMYFUNCTION("""COMPUTED_VALUE"""),"s21*****g.scvs.ntpc.edu.tw")</f>
        <v>s21*****g.scvs.ntpc.edu.tw</v>
      </c>
      <c r="D302" s="9" t="str">
        <f>IFERROR(__xludf.DUMMYFUNCTION("""COMPUTED_VALUE"""),"新北市立三重高級商工職業學校")</f>
        <v>新北市立三重高級商工職業學校</v>
      </c>
      <c r="E302" s="9" t="str">
        <f>IFERROR(__xludf.DUMMYFUNCTION("""COMPUTED_VALUE"""),"商業經營科")</f>
        <v>商業經營科</v>
      </c>
      <c r="F302" s="9" t="str">
        <f>IFERROR(__xludf.DUMMYFUNCTION("""COMPUTED_VALUE"""),"三年級")</f>
        <v>三年級</v>
      </c>
      <c r="G302" s="9" t="str">
        <f>IFERROR(__xludf.DUMMYFUNCTION("""COMPUTED_VALUE"""),"獎狀")</f>
        <v>獎狀</v>
      </c>
      <c r="H302" s="9"/>
    </row>
    <row r="303">
      <c r="A303" s="13" t="s">
        <v>11</v>
      </c>
      <c r="B303" s="9" t="str">
        <f>IFERROR(__xludf.DUMMYFUNCTION("""COMPUTED_VALUE"""),"林O妤")</f>
        <v>林O妤</v>
      </c>
      <c r="C303" s="9" t="str">
        <f>IFERROR(__xludf.DUMMYFUNCTION("""COMPUTED_VALUE"""),"s21*****g.scvs.ntpc.edu.tw")</f>
        <v>s21*****g.scvs.ntpc.edu.tw</v>
      </c>
      <c r="D303" s="9" t="str">
        <f>IFERROR(__xludf.DUMMYFUNCTION("""COMPUTED_VALUE"""),"新北市立三重高級商工職業學校")</f>
        <v>新北市立三重高級商工職業學校</v>
      </c>
      <c r="E303" s="9" t="str">
        <f>IFERROR(__xludf.DUMMYFUNCTION("""COMPUTED_VALUE"""),"商業經營科")</f>
        <v>商業經營科</v>
      </c>
      <c r="F303" s="9" t="str">
        <f>IFERROR(__xludf.DUMMYFUNCTION("""COMPUTED_VALUE"""),"三年級")</f>
        <v>三年級</v>
      </c>
      <c r="G303" s="9" t="str">
        <f>IFERROR(__xludf.DUMMYFUNCTION("""COMPUTED_VALUE"""),"獎狀")</f>
        <v>獎狀</v>
      </c>
      <c r="H303" s="9"/>
    </row>
    <row r="304">
      <c r="A304" s="13" t="s">
        <v>11</v>
      </c>
      <c r="B304" s="9" t="str">
        <f>IFERROR(__xludf.DUMMYFUNCTION("""COMPUTED_VALUE"""),"陳O潔")</f>
        <v>陳O潔</v>
      </c>
      <c r="C304" s="9" t="str">
        <f>IFERROR(__xludf.DUMMYFUNCTION("""COMPUTED_VALUE"""),"pin*****@gmail.com")</f>
        <v>pin*****@gmail.com</v>
      </c>
      <c r="D304" s="9" t="str">
        <f>IFERROR(__xludf.DUMMYFUNCTION("""COMPUTED_VALUE"""),"新北市立三重高級商工職業學校")</f>
        <v>新北市立三重高級商工職業學校</v>
      </c>
      <c r="E304" s="9" t="str">
        <f>IFERROR(__xludf.DUMMYFUNCTION("""COMPUTED_VALUE"""),"商業經營科")</f>
        <v>商業經營科</v>
      </c>
      <c r="F304" s="9" t="str">
        <f>IFERROR(__xludf.DUMMYFUNCTION("""COMPUTED_VALUE"""),"三年級")</f>
        <v>三年級</v>
      </c>
      <c r="G304" s="9" t="str">
        <f>IFERROR(__xludf.DUMMYFUNCTION("""COMPUTED_VALUE"""),"獎狀")</f>
        <v>獎狀</v>
      </c>
      <c r="H304" s="9"/>
    </row>
    <row r="305">
      <c r="A305" s="13" t="s">
        <v>11</v>
      </c>
      <c r="B305" s="9" t="str">
        <f>IFERROR(__xludf.DUMMYFUNCTION("""COMPUTED_VALUE"""),"方O昇")</f>
        <v>方O昇</v>
      </c>
      <c r="C305" s="9" t="str">
        <f>IFERROR(__xludf.DUMMYFUNCTION("""COMPUTED_VALUE"""),"yus*****ang171@gmail.com")</f>
        <v>yus*****ang171@gmail.com</v>
      </c>
      <c r="D305" s="9" t="str">
        <f>IFERROR(__xludf.DUMMYFUNCTION("""COMPUTED_VALUE"""),"新北市立三重高級商工職業學校")</f>
        <v>新北市立三重高級商工職業學校</v>
      </c>
      <c r="E305" s="9" t="str">
        <f>IFERROR(__xludf.DUMMYFUNCTION("""COMPUTED_VALUE"""),"商業經營科")</f>
        <v>商業經營科</v>
      </c>
      <c r="F305" s="9" t="str">
        <f>IFERROR(__xludf.DUMMYFUNCTION("""COMPUTED_VALUE"""),"三年級")</f>
        <v>三年級</v>
      </c>
      <c r="G305" s="9" t="str">
        <f>IFERROR(__xludf.DUMMYFUNCTION("""COMPUTED_VALUE"""),"獎狀")</f>
        <v>獎狀</v>
      </c>
      <c r="H305" s="9"/>
    </row>
    <row r="306">
      <c r="A306" s="13" t="s">
        <v>11</v>
      </c>
      <c r="B306" s="9" t="str">
        <f>IFERROR(__xludf.DUMMYFUNCTION("""COMPUTED_VALUE"""),"郭O雅")</f>
        <v>郭O雅</v>
      </c>
      <c r="C306" s="9" t="str">
        <f>IFERROR(__xludf.DUMMYFUNCTION("""COMPUTED_VALUE"""),"s21*****g.scvs.ntpc.edu.tw")</f>
        <v>s21*****g.scvs.ntpc.edu.tw</v>
      </c>
      <c r="D306" s="9" t="str">
        <f>IFERROR(__xludf.DUMMYFUNCTION("""COMPUTED_VALUE"""),"新北市立三重高級商工職業學校")</f>
        <v>新北市立三重高級商工職業學校</v>
      </c>
      <c r="E306" s="9" t="str">
        <f>IFERROR(__xludf.DUMMYFUNCTION("""COMPUTED_VALUE"""),"商業經營科")</f>
        <v>商業經營科</v>
      </c>
      <c r="F306" s="9" t="str">
        <f>IFERROR(__xludf.DUMMYFUNCTION("""COMPUTED_VALUE"""),"三年級")</f>
        <v>三年級</v>
      </c>
      <c r="G306" s="9" t="str">
        <f>IFERROR(__xludf.DUMMYFUNCTION("""COMPUTED_VALUE"""),"獎狀")</f>
        <v>獎狀</v>
      </c>
      <c r="H306" s="9"/>
    </row>
    <row r="307">
      <c r="A307" s="13" t="s">
        <v>11</v>
      </c>
      <c r="B307" s="9" t="str">
        <f>IFERROR(__xludf.DUMMYFUNCTION("""COMPUTED_VALUE"""),"陳O穎")</f>
        <v>陳O穎</v>
      </c>
      <c r="C307" s="9" t="str">
        <f>IFERROR(__xludf.DUMMYFUNCTION("""COMPUTED_VALUE"""),"s21*****g.scvs.ntpc.edu.tw")</f>
        <v>s21*****g.scvs.ntpc.edu.tw</v>
      </c>
      <c r="D307" s="9" t="str">
        <f>IFERROR(__xludf.DUMMYFUNCTION("""COMPUTED_VALUE"""),"新北市立三重高級商工職業學校")</f>
        <v>新北市立三重高級商工職業學校</v>
      </c>
      <c r="E307" s="9" t="str">
        <f>IFERROR(__xludf.DUMMYFUNCTION("""COMPUTED_VALUE"""),"商業經營科")</f>
        <v>商業經營科</v>
      </c>
      <c r="F307" s="9" t="str">
        <f>IFERROR(__xludf.DUMMYFUNCTION("""COMPUTED_VALUE"""),"三年級")</f>
        <v>三年級</v>
      </c>
      <c r="G307" s="9" t="str">
        <f>IFERROR(__xludf.DUMMYFUNCTION("""COMPUTED_VALUE"""),"★商品卡$1000")</f>
        <v>★商品卡$1000</v>
      </c>
      <c r="H307" s="9"/>
    </row>
    <row r="308">
      <c r="A308" s="13" t="s">
        <v>11</v>
      </c>
      <c r="B308" s="9" t="str">
        <f>IFERROR(__xludf.DUMMYFUNCTION("""COMPUTED_VALUE"""),"顏O玹")</f>
        <v>顏O玹</v>
      </c>
      <c r="C308" s="9" t="str">
        <f>IFERROR(__xludf.DUMMYFUNCTION("""COMPUTED_VALUE"""),"s21*****g.scvs.ntpc.edu.tw")</f>
        <v>s21*****g.scvs.ntpc.edu.tw</v>
      </c>
      <c r="D308" s="9" t="str">
        <f>IFERROR(__xludf.DUMMYFUNCTION("""COMPUTED_VALUE"""),"新北市立三重高級商工職業學校")</f>
        <v>新北市立三重高級商工職業學校</v>
      </c>
      <c r="E308" s="9" t="str">
        <f>IFERROR(__xludf.DUMMYFUNCTION("""COMPUTED_VALUE"""),"商業經營科")</f>
        <v>商業經營科</v>
      </c>
      <c r="F308" s="9" t="str">
        <f>IFERROR(__xludf.DUMMYFUNCTION("""COMPUTED_VALUE"""),"三年級")</f>
        <v>三年級</v>
      </c>
      <c r="G308" s="9" t="str">
        <f>IFERROR(__xludf.DUMMYFUNCTION("""COMPUTED_VALUE"""),"獎狀")</f>
        <v>獎狀</v>
      </c>
      <c r="H308" s="9"/>
    </row>
    <row r="309">
      <c r="A309" s="13" t="s">
        <v>11</v>
      </c>
      <c r="B309" s="9" t="str">
        <f>IFERROR(__xludf.DUMMYFUNCTION("""COMPUTED_VALUE"""),"李O瑩")</f>
        <v>李O瑩</v>
      </c>
      <c r="C309" s="9" t="str">
        <f>IFERROR(__xludf.DUMMYFUNCTION("""COMPUTED_VALUE"""),"s21*****g.scvs.ntpc.edu.tw")</f>
        <v>s21*****g.scvs.ntpc.edu.tw</v>
      </c>
      <c r="D309" s="9" t="str">
        <f>IFERROR(__xludf.DUMMYFUNCTION("""COMPUTED_VALUE"""),"新北市立三重高級商工職業學校")</f>
        <v>新北市立三重高級商工職業學校</v>
      </c>
      <c r="E309" s="9" t="str">
        <f>IFERROR(__xludf.DUMMYFUNCTION("""COMPUTED_VALUE"""),"商業經營科")</f>
        <v>商業經營科</v>
      </c>
      <c r="F309" s="9" t="str">
        <f>IFERROR(__xludf.DUMMYFUNCTION("""COMPUTED_VALUE"""),"三年級")</f>
        <v>三年級</v>
      </c>
      <c r="G309" s="9" t="str">
        <f>IFERROR(__xludf.DUMMYFUNCTION("""COMPUTED_VALUE"""),"○商品卡$500")</f>
        <v>○商品卡$500</v>
      </c>
      <c r="H309" s="9"/>
    </row>
    <row r="310">
      <c r="A310" s="13" t="s">
        <v>11</v>
      </c>
      <c r="B310" s="9" t="str">
        <f>IFERROR(__xludf.DUMMYFUNCTION("""COMPUTED_VALUE"""),"吳O瀅")</f>
        <v>吳O瀅</v>
      </c>
      <c r="C310" s="9" t="str">
        <f>IFERROR(__xludf.DUMMYFUNCTION("""COMPUTED_VALUE"""),"min*****07@gmail.com")</f>
        <v>min*****07@gmail.com</v>
      </c>
      <c r="D310" s="9" t="str">
        <f>IFERROR(__xludf.DUMMYFUNCTION("""COMPUTED_VALUE"""),"新北市立三重高級商工職業學校")</f>
        <v>新北市立三重高級商工職業學校</v>
      </c>
      <c r="E310" s="9" t="str">
        <f>IFERROR(__xludf.DUMMYFUNCTION("""COMPUTED_VALUE"""),"商業經營科")</f>
        <v>商業經營科</v>
      </c>
      <c r="F310" s="9" t="str">
        <f>IFERROR(__xludf.DUMMYFUNCTION("""COMPUTED_VALUE"""),"三年級")</f>
        <v>三年級</v>
      </c>
      <c r="G310" s="9" t="str">
        <f>IFERROR(__xludf.DUMMYFUNCTION("""COMPUTED_VALUE"""),"■商品卡$200")</f>
        <v>■商品卡$200</v>
      </c>
      <c r="H310" s="9"/>
    </row>
    <row r="311">
      <c r="A311" s="13" t="s">
        <v>11</v>
      </c>
      <c r="B311" s="9" t="str">
        <f>IFERROR(__xludf.DUMMYFUNCTION("""COMPUTED_VALUE"""),"羅O妮")</f>
        <v>羅O妮</v>
      </c>
      <c r="C311" s="9" t="str">
        <f>IFERROR(__xludf.DUMMYFUNCTION("""COMPUTED_VALUE"""),"s21*****g.scvs.ntpc.edu.tw")</f>
        <v>s21*****g.scvs.ntpc.edu.tw</v>
      </c>
      <c r="D311" s="9" t="str">
        <f>IFERROR(__xludf.DUMMYFUNCTION("""COMPUTED_VALUE"""),"新北市立三重高級商工職業學校")</f>
        <v>新北市立三重高級商工職業學校</v>
      </c>
      <c r="E311" s="9" t="str">
        <f>IFERROR(__xludf.DUMMYFUNCTION("""COMPUTED_VALUE"""),"商業經營科")</f>
        <v>商業經營科</v>
      </c>
      <c r="F311" s="9" t="str">
        <f>IFERROR(__xludf.DUMMYFUNCTION("""COMPUTED_VALUE"""),"三年級")</f>
        <v>三年級</v>
      </c>
      <c r="G311" s="9" t="str">
        <f>IFERROR(__xludf.DUMMYFUNCTION("""COMPUTED_VALUE"""),"獎狀")</f>
        <v>獎狀</v>
      </c>
      <c r="H311" s="9"/>
    </row>
    <row r="312">
      <c r="A312" s="13" t="s">
        <v>11</v>
      </c>
      <c r="B312" s="9" t="str">
        <f>IFERROR(__xludf.DUMMYFUNCTION("""COMPUTED_VALUE"""),"吳O稜")</f>
        <v>吳O稜</v>
      </c>
      <c r="C312" s="9" t="str">
        <f>IFERROR(__xludf.DUMMYFUNCTION("""COMPUTED_VALUE"""),"s21*****g.scvs.ntpc.edu.tw")</f>
        <v>s21*****g.scvs.ntpc.edu.tw</v>
      </c>
      <c r="D312" s="9" t="str">
        <f>IFERROR(__xludf.DUMMYFUNCTION("""COMPUTED_VALUE"""),"新北市立三重高級商工職業學校")</f>
        <v>新北市立三重高級商工職業學校</v>
      </c>
      <c r="E312" s="9" t="str">
        <f>IFERROR(__xludf.DUMMYFUNCTION("""COMPUTED_VALUE"""),"商業經營科")</f>
        <v>商業經營科</v>
      </c>
      <c r="F312" s="9" t="str">
        <f>IFERROR(__xludf.DUMMYFUNCTION("""COMPUTED_VALUE"""),"三年級")</f>
        <v>三年級</v>
      </c>
      <c r="G312" s="9" t="str">
        <f>IFERROR(__xludf.DUMMYFUNCTION("""COMPUTED_VALUE"""),"■商品卡$200")</f>
        <v>■商品卡$200</v>
      </c>
      <c r="H312" s="9"/>
    </row>
    <row r="313">
      <c r="A313" s="13" t="s">
        <v>11</v>
      </c>
      <c r="B313" s="9" t="str">
        <f>IFERROR(__xludf.DUMMYFUNCTION("""COMPUTED_VALUE"""),"郭O绫")</f>
        <v>郭O绫</v>
      </c>
      <c r="C313" s="9" t="str">
        <f>IFERROR(__xludf.DUMMYFUNCTION("""COMPUTED_VALUE"""),"jol*****80707@gmail.com")</f>
        <v>jol*****80707@gmail.com</v>
      </c>
      <c r="D313" s="9" t="str">
        <f>IFERROR(__xludf.DUMMYFUNCTION("""COMPUTED_VALUE"""),"新北市立三重高級商工職業學校")</f>
        <v>新北市立三重高級商工職業學校</v>
      </c>
      <c r="E313" s="9" t="str">
        <f>IFERROR(__xludf.DUMMYFUNCTION("""COMPUTED_VALUE"""),"商業經營科")</f>
        <v>商業經營科</v>
      </c>
      <c r="F313" s="9" t="str">
        <f>IFERROR(__xludf.DUMMYFUNCTION("""COMPUTED_VALUE"""),"三年級")</f>
        <v>三年級</v>
      </c>
      <c r="G313" s="9" t="str">
        <f>IFERROR(__xludf.DUMMYFUNCTION("""COMPUTED_VALUE"""),"獎狀")</f>
        <v>獎狀</v>
      </c>
      <c r="H313" s="9"/>
    </row>
    <row r="314">
      <c r="A314" s="13" t="s">
        <v>11</v>
      </c>
      <c r="B314" s="9" t="str">
        <f>IFERROR(__xludf.DUMMYFUNCTION("""COMPUTED_VALUE"""),"朱O醇")</f>
        <v>朱O醇</v>
      </c>
      <c r="C314" s="9" t="str">
        <f>IFERROR(__xludf.DUMMYFUNCTION("""COMPUTED_VALUE"""),"can*****40518@gmail.com")</f>
        <v>can*****40518@gmail.com</v>
      </c>
      <c r="D314" s="9" t="str">
        <f>IFERROR(__xludf.DUMMYFUNCTION("""COMPUTED_VALUE"""),"新北市立三重高級商工職業學校")</f>
        <v>新北市立三重高級商工職業學校</v>
      </c>
      <c r="E314" s="9" t="str">
        <f>IFERROR(__xludf.DUMMYFUNCTION("""COMPUTED_VALUE"""),"商業經營科")</f>
        <v>商業經營科</v>
      </c>
      <c r="F314" s="9" t="str">
        <f>IFERROR(__xludf.DUMMYFUNCTION("""COMPUTED_VALUE"""),"三年級")</f>
        <v>三年級</v>
      </c>
      <c r="G314" s="9" t="str">
        <f>IFERROR(__xludf.DUMMYFUNCTION("""COMPUTED_VALUE"""),"獎狀")</f>
        <v>獎狀</v>
      </c>
      <c r="H314" s="9"/>
    </row>
    <row r="315">
      <c r="A315" s="13" t="s">
        <v>11</v>
      </c>
      <c r="B315" s="9" t="str">
        <f>IFERROR(__xludf.DUMMYFUNCTION("""COMPUTED_VALUE"""),"蔡O菱")</f>
        <v>蔡O菱</v>
      </c>
      <c r="C315" s="9" t="str">
        <f>IFERROR(__xludf.DUMMYFUNCTION("""COMPUTED_VALUE"""),"cin*****109@apps.ntpc.edu.tw")</f>
        <v>cin*****109@apps.ntpc.edu.tw</v>
      </c>
      <c r="D315" s="9" t="str">
        <f>IFERROR(__xludf.DUMMYFUNCTION("""COMPUTED_VALUE"""),"新北市立三重高級商工職業學校")</f>
        <v>新北市立三重高級商工職業學校</v>
      </c>
      <c r="E315" s="9" t="str">
        <f>IFERROR(__xludf.DUMMYFUNCTION("""COMPUTED_VALUE"""),"商業經營科")</f>
        <v>商業經營科</v>
      </c>
      <c r="F315" s="9" t="str">
        <f>IFERROR(__xludf.DUMMYFUNCTION("""COMPUTED_VALUE"""),"三年級")</f>
        <v>三年級</v>
      </c>
      <c r="G315" s="9" t="str">
        <f>IFERROR(__xludf.DUMMYFUNCTION("""COMPUTED_VALUE"""),"獎狀")</f>
        <v>獎狀</v>
      </c>
      <c r="H315" s="9"/>
    </row>
    <row r="316">
      <c r="A316" s="13" t="s">
        <v>11</v>
      </c>
      <c r="B316" s="9" t="str">
        <f>IFERROR(__xludf.DUMMYFUNCTION("""COMPUTED_VALUE"""),"廖O瑋")</f>
        <v>廖O瑋</v>
      </c>
      <c r="C316" s="9" t="str">
        <f>IFERROR(__xludf.DUMMYFUNCTION("""COMPUTED_VALUE"""),"lia*****wei06@gmail.com")</f>
        <v>lia*****wei06@gmail.com</v>
      </c>
      <c r="D316" s="9" t="str">
        <f>IFERROR(__xludf.DUMMYFUNCTION("""COMPUTED_VALUE"""),"新北市立三重高級商工職業學校")</f>
        <v>新北市立三重高級商工職業學校</v>
      </c>
      <c r="E316" s="9" t="str">
        <f>IFERROR(__xludf.DUMMYFUNCTION("""COMPUTED_VALUE"""),"商業經營科")</f>
        <v>商業經營科</v>
      </c>
      <c r="F316" s="9" t="str">
        <f>IFERROR(__xludf.DUMMYFUNCTION("""COMPUTED_VALUE"""),"三年級")</f>
        <v>三年級</v>
      </c>
      <c r="G316" s="9" t="str">
        <f>IFERROR(__xludf.DUMMYFUNCTION("""COMPUTED_VALUE"""),"獎狀")</f>
        <v>獎狀</v>
      </c>
      <c r="H316" s="9"/>
    </row>
    <row r="317">
      <c r="A317" s="13" t="s">
        <v>11</v>
      </c>
      <c r="B317" s="9" t="str">
        <f>IFERROR(__xludf.DUMMYFUNCTION("""COMPUTED_VALUE"""),"彭O蓓")</f>
        <v>彭O蓓</v>
      </c>
      <c r="C317" s="9" t="str">
        <f>IFERROR(__xludf.DUMMYFUNCTION("""COMPUTED_VALUE"""),"s21*****g.scvs.ntpc.edu.tw")</f>
        <v>s21*****g.scvs.ntpc.edu.tw</v>
      </c>
      <c r="D317" s="9" t="str">
        <f>IFERROR(__xludf.DUMMYFUNCTION("""COMPUTED_VALUE"""),"新北市立三重高級商工職業學校")</f>
        <v>新北市立三重高級商工職業學校</v>
      </c>
      <c r="E317" s="9" t="str">
        <f>IFERROR(__xludf.DUMMYFUNCTION("""COMPUTED_VALUE"""),"商業經營科")</f>
        <v>商業經營科</v>
      </c>
      <c r="F317" s="9" t="str">
        <f>IFERROR(__xludf.DUMMYFUNCTION("""COMPUTED_VALUE"""),"三年級")</f>
        <v>三年級</v>
      </c>
      <c r="G317" s="9" t="str">
        <f>IFERROR(__xludf.DUMMYFUNCTION("""COMPUTED_VALUE"""),"獎狀")</f>
        <v>獎狀</v>
      </c>
      <c r="H317" s="9"/>
    </row>
    <row r="318">
      <c r="A318" s="13" t="s">
        <v>11</v>
      </c>
      <c r="B318" s="9" t="str">
        <f>IFERROR(__xludf.DUMMYFUNCTION("""COMPUTED_VALUE"""),"陳O吟")</f>
        <v>陳O吟</v>
      </c>
      <c r="C318" s="9" t="str">
        <f>IFERROR(__xludf.DUMMYFUNCTION("""COMPUTED_VALUE"""),"s21*****g.scvs.ntpc.edu.tw")</f>
        <v>s21*****g.scvs.ntpc.edu.tw</v>
      </c>
      <c r="D318" s="9" t="str">
        <f>IFERROR(__xludf.DUMMYFUNCTION("""COMPUTED_VALUE"""),"新北市立三重高級商工職業學校")</f>
        <v>新北市立三重高級商工職業學校</v>
      </c>
      <c r="E318" s="9" t="str">
        <f>IFERROR(__xludf.DUMMYFUNCTION("""COMPUTED_VALUE"""),"商業經營科")</f>
        <v>商業經營科</v>
      </c>
      <c r="F318" s="9" t="str">
        <f>IFERROR(__xludf.DUMMYFUNCTION("""COMPUTED_VALUE"""),"三年級")</f>
        <v>三年級</v>
      </c>
      <c r="G318" s="9" t="str">
        <f>IFERROR(__xludf.DUMMYFUNCTION("""COMPUTED_VALUE"""),"獎狀")</f>
        <v>獎狀</v>
      </c>
      <c r="H318" s="9"/>
    </row>
    <row r="319">
      <c r="A319" s="13" t="s">
        <v>11</v>
      </c>
      <c r="B319" s="9" t="str">
        <f>IFERROR(__xludf.DUMMYFUNCTION("""COMPUTED_VALUE"""),"陳O淯")</f>
        <v>陳O淯</v>
      </c>
      <c r="C319" s="9" t="str">
        <f>IFERROR(__xludf.DUMMYFUNCTION("""COMPUTED_VALUE"""),"s21*****g.scvs.ntpc.edu.tw")</f>
        <v>s21*****g.scvs.ntpc.edu.tw</v>
      </c>
      <c r="D319" s="9" t="str">
        <f>IFERROR(__xludf.DUMMYFUNCTION("""COMPUTED_VALUE"""),"新北市立三重高級商工職業學校")</f>
        <v>新北市立三重高級商工職業學校</v>
      </c>
      <c r="E319" s="9" t="str">
        <f>IFERROR(__xludf.DUMMYFUNCTION("""COMPUTED_VALUE"""),"商業經營科")</f>
        <v>商業經營科</v>
      </c>
      <c r="F319" s="9" t="str">
        <f>IFERROR(__xludf.DUMMYFUNCTION("""COMPUTED_VALUE"""),"三年級")</f>
        <v>三年級</v>
      </c>
      <c r="G319" s="9" t="str">
        <f>IFERROR(__xludf.DUMMYFUNCTION("""COMPUTED_VALUE"""),"獎狀")</f>
        <v>獎狀</v>
      </c>
      <c r="H319" s="9"/>
    </row>
    <row r="320">
      <c r="A320" s="13" t="s">
        <v>11</v>
      </c>
      <c r="B320" s="9" t="str">
        <f>IFERROR(__xludf.DUMMYFUNCTION("""COMPUTED_VALUE"""),"李O錡")</f>
        <v>李O錡</v>
      </c>
      <c r="C320" s="9" t="str">
        <f>IFERROR(__xludf.DUMMYFUNCTION("""COMPUTED_VALUE"""),"s21*****g.scvs.ntpc.edu.tw")</f>
        <v>s21*****g.scvs.ntpc.edu.tw</v>
      </c>
      <c r="D320" s="9" t="str">
        <f>IFERROR(__xludf.DUMMYFUNCTION("""COMPUTED_VALUE"""),"新北市立三重高級商工職業學校")</f>
        <v>新北市立三重高級商工職業學校</v>
      </c>
      <c r="E320" s="9" t="str">
        <f>IFERROR(__xludf.DUMMYFUNCTION("""COMPUTED_VALUE"""),"商業經營科")</f>
        <v>商業經營科</v>
      </c>
      <c r="F320" s="9" t="str">
        <f>IFERROR(__xludf.DUMMYFUNCTION("""COMPUTED_VALUE"""),"三年級")</f>
        <v>三年級</v>
      </c>
      <c r="G320" s="9" t="str">
        <f>IFERROR(__xludf.DUMMYFUNCTION("""COMPUTED_VALUE"""),"■商品卡$200")</f>
        <v>■商品卡$200</v>
      </c>
      <c r="H320" s="9"/>
    </row>
    <row r="321">
      <c r="A321" s="13" t="s">
        <v>11</v>
      </c>
      <c r="B321" s="9" t="str">
        <f>IFERROR(__xludf.DUMMYFUNCTION("""COMPUTED_VALUE"""),"吳O潔")</f>
        <v>吳O潔</v>
      </c>
      <c r="C321" s="9" t="str">
        <f>IFERROR(__xludf.DUMMYFUNCTION("""COMPUTED_VALUE"""),"s31*****g.scvs.ntpc.edu.tw")</f>
        <v>s31*****g.scvs.ntpc.edu.tw</v>
      </c>
      <c r="D321" s="9" t="str">
        <f>IFERROR(__xludf.DUMMYFUNCTION("""COMPUTED_VALUE"""),"新北市立三重高級商工職業學校")</f>
        <v>新北市立三重高級商工職業學校</v>
      </c>
      <c r="E321" s="9" t="str">
        <f>IFERROR(__xludf.DUMMYFUNCTION("""COMPUTED_VALUE"""),"國貿科")</f>
        <v>國貿科</v>
      </c>
      <c r="F321" s="9" t="str">
        <f>IFERROR(__xludf.DUMMYFUNCTION("""COMPUTED_VALUE"""),"二年級")</f>
        <v>二年級</v>
      </c>
      <c r="G321" s="9" t="str">
        <f>IFERROR(__xludf.DUMMYFUNCTION("""COMPUTED_VALUE"""),"獎狀")</f>
        <v>獎狀</v>
      </c>
      <c r="H321" s="9"/>
    </row>
    <row r="322">
      <c r="A322" s="13" t="s">
        <v>11</v>
      </c>
      <c r="B322" s="9" t="str">
        <f>IFERROR(__xludf.DUMMYFUNCTION("""COMPUTED_VALUE"""),"李O民")</f>
        <v>李O民</v>
      </c>
      <c r="C322" s="9" t="str">
        <f>IFERROR(__xludf.DUMMYFUNCTION("""COMPUTED_VALUE"""),"s11*****g.scvs.ntpc.edu.tw")</f>
        <v>s11*****g.scvs.ntpc.edu.tw</v>
      </c>
      <c r="D322" s="9" t="str">
        <f>IFERROR(__xludf.DUMMYFUNCTION("""COMPUTED_VALUE"""),"新北市立三重高級商工職業學校")</f>
        <v>新北市立三重高級商工職業學校</v>
      </c>
      <c r="E322" s="9" t="str">
        <f>IFERROR(__xludf.DUMMYFUNCTION("""COMPUTED_VALUE"""),"國貿科")</f>
        <v>國貿科</v>
      </c>
      <c r="F322" s="9" t="str">
        <f>IFERROR(__xludf.DUMMYFUNCTION("""COMPUTED_VALUE"""),"三年級")</f>
        <v>三年級</v>
      </c>
      <c r="G322" s="9" t="str">
        <f>IFERROR(__xludf.DUMMYFUNCTION("""COMPUTED_VALUE"""),"獎狀")</f>
        <v>獎狀</v>
      </c>
      <c r="H322" s="9"/>
    </row>
    <row r="323">
      <c r="A323" s="13" t="s">
        <v>11</v>
      </c>
      <c r="B323" s="9" t="str">
        <f>IFERROR(__xludf.DUMMYFUNCTION("""COMPUTED_VALUE"""),"黃O睿")</f>
        <v>黃O睿</v>
      </c>
      <c r="C323" s="9" t="str">
        <f>IFERROR(__xludf.DUMMYFUNCTION("""COMPUTED_VALUE"""),"s21*****g.scvs.ntpc.edu.tw")</f>
        <v>s21*****g.scvs.ntpc.edu.tw</v>
      </c>
      <c r="D323" s="9" t="str">
        <f>IFERROR(__xludf.DUMMYFUNCTION("""COMPUTED_VALUE"""),"新北市立三重高級商工職業學校")</f>
        <v>新北市立三重高級商工職業學校</v>
      </c>
      <c r="E323" s="9" t="str">
        <f>IFERROR(__xludf.DUMMYFUNCTION("""COMPUTED_VALUE"""),"鈑金")</f>
        <v>鈑金</v>
      </c>
      <c r="F323" s="9" t="str">
        <f>IFERROR(__xludf.DUMMYFUNCTION("""COMPUTED_VALUE"""),"二年級")</f>
        <v>二年級</v>
      </c>
      <c r="G323" s="9" t="str">
        <f>IFERROR(__xludf.DUMMYFUNCTION("""COMPUTED_VALUE"""),"獎狀")</f>
        <v>獎狀</v>
      </c>
      <c r="H323" s="9"/>
    </row>
    <row r="324">
      <c r="A324" s="13" t="s">
        <v>11</v>
      </c>
      <c r="B324" s="9" t="str">
        <f>IFERROR(__xludf.DUMMYFUNCTION("""COMPUTED_VALUE"""),"張O威")</f>
        <v>張O威</v>
      </c>
      <c r="C324" s="9" t="str">
        <f>IFERROR(__xludf.DUMMYFUNCTION("""COMPUTED_VALUE"""),"s21*****g.scvs.ntpc.edu.tw")</f>
        <v>s21*****g.scvs.ntpc.edu.tw</v>
      </c>
      <c r="D324" s="9" t="str">
        <f>IFERROR(__xludf.DUMMYFUNCTION("""COMPUTED_VALUE"""),"新北市立三重高級商工職業學校")</f>
        <v>新北市立三重高級商工職業學校</v>
      </c>
      <c r="E324" s="9" t="str">
        <f>IFERROR(__xludf.DUMMYFUNCTION("""COMPUTED_VALUE"""),"資料處理科")</f>
        <v>資料處理科</v>
      </c>
      <c r="F324" s="9" t="str">
        <f>IFERROR(__xludf.DUMMYFUNCTION("""COMPUTED_VALUE"""),"三年級")</f>
        <v>三年級</v>
      </c>
      <c r="G324" s="9" t="str">
        <f>IFERROR(__xludf.DUMMYFUNCTION("""COMPUTED_VALUE"""),"獎狀")</f>
        <v>獎狀</v>
      </c>
      <c r="H324" s="9"/>
    </row>
    <row r="325">
      <c r="A325" s="13" t="s">
        <v>11</v>
      </c>
      <c r="B325" s="9" t="str">
        <f>IFERROR(__xludf.DUMMYFUNCTION("""COMPUTED_VALUE"""),"黃O嘉")</f>
        <v>黃O嘉</v>
      </c>
      <c r="C325" s="9" t="str">
        <f>IFERROR(__xludf.DUMMYFUNCTION("""COMPUTED_VALUE"""),"eug*****513.ntpc@mail.edu.tw")</f>
        <v>eug*****513.ntpc@mail.edu.tw</v>
      </c>
      <c r="D325" s="9" t="str">
        <f>IFERROR(__xludf.DUMMYFUNCTION("""COMPUTED_VALUE"""),"新北市立三重高級商工職業學校")</f>
        <v>新北市立三重高級商工職業學校</v>
      </c>
      <c r="E325" s="9" t="str">
        <f>IFERROR(__xludf.DUMMYFUNCTION("""COMPUTED_VALUE"""),"資處科")</f>
        <v>資處科</v>
      </c>
      <c r="F325" s="9" t="str">
        <f>IFERROR(__xludf.DUMMYFUNCTION("""COMPUTED_VALUE"""),"二年級")</f>
        <v>二年級</v>
      </c>
      <c r="G325" s="9" t="str">
        <f>IFERROR(__xludf.DUMMYFUNCTION("""COMPUTED_VALUE"""),"獎狀")</f>
        <v>獎狀</v>
      </c>
      <c r="H325" s="9"/>
    </row>
    <row r="326">
      <c r="A326" s="13" t="s">
        <v>11</v>
      </c>
      <c r="B326" s="9" t="str">
        <f>IFERROR(__xludf.DUMMYFUNCTION("""COMPUTED_VALUE"""),"林O蕎")</f>
        <v>林O蕎</v>
      </c>
      <c r="C326" s="9" t="str">
        <f>IFERROR(__xludf.DUMMYFUNCTION("""COMPUTED_VALUE"""),"s31*****g.scvs.ntpc.edu.tw")</f>
        <v>s31*****g.scvs.ntpc.edu.tw</v>
      </c>
      <c r="D326" s="9" t="str">
        <f>IFERROR(__xludf.DUMMYFUNCTION("""COMPUTED_VALUE"""),"新北市立三重高級商工職業學校")</f>
        <v>新北市立三重高級商工職業學校</v>
      </c>
      <c r="E326" s="9" t="str">
        <f>IFERROR(__xludf.DUMMYFUNCTION("""COMPUTED_VALUE"""),"資處科")</f>
        <v>資處科</v>
      </c>
      <c r="F326" s="9" t="str">
        <f>IFERROR(__xludf.DUMMYFUNCTION("""COMPUTED_VALUE"""),"二年級")</f>
        <v>二年級</v>
      </c>
      <c r="G326" s="9" t="str">
        <f>IFERROR(__xludf.DUMMYFUNCTION("""COMPUTED_VALUE"""),"■商品卡$200")</f>
        <v>■商品卡$200</v>
      </c>
      <c r="H326" s="9"/>
    </row>
    <row r="327">
      <c r="A327" s="13" t="s">
        <v>11</v>
      </c>
      <c r="B327" s="9" t="str">
        <f>IFERROR(__xludf.DUMMYFUNCTION("""COMPUTED_VALUE"""),"林O辰")</f>
        <v>林O辰</v>
      </c>
      <c r="C327" s="9" t="str">
        <f>IFERROR(__xludf.DUMMYFUNCTION("""COMPUTED_VALUE"""),"s31*****g.scvs.ntpc.edu.tw")</f>
        <v>s31*****g.scvs.ntpc.edu.tw</v>
      </c>
      <c r="D327" s="9" t="str">
        <f>IFERROR(__xludf.DUMMYFUNCTION("""COMPUTED_VALUE"""),"新北市立三重高級商工職業學校")</f>
        <v>新北市立三重高級商工職業學校</v>
      </c>
      <c r="E327" s="9" t="str">
        <f>IFERROR(__xludf.DUMMYFUNCTION("""COMPUTED_VALUE"""),"資處科")</f>
        <v>資處科</v>
      </c>
      <c r="F327" s="9" t="str">
        <f>IFERROR(__xludf.DUMMYFUNCTION("""COMPUTED_VALUE"""),"二年級")</f>
        <v>二年級</v>
      </c>
      <c r="G327" s="9" t="str">
        <f>IFERROR(__xludf.DUMMYFUNCTION("""COMPUTED_VALUE"""),"獎狀")</f>
        <v>獎狀</v>
      </c>
      <c r="H327" s="9"/>
    </row>
    <row r="328">
      <c r="A328" s="13" t="s">
        <v>11</v>
      </c>
      <c r="B328" s="9" t="str">
        <f>IFERROR(__xludf.DUMMYFUNCTION("""COMPUTED_VALUE"""),"王O悠")</f>
        <v>王O悠</v>
      </c>
      <c r="C328" s="9" t="str">
        <f>IFERROR(__xludf.DUMMYFUNCTION("""COMPUTED_VALUE"""),"s31*****g.scvs.ntpc.edu.tw")</f>
        <v>s31*****g.scvs.ntpc.edu.tw</v>
      </c>
      <c r="D328" s="9" t="str">
        <f>IFERROR(__xludf.DUMMYFUNCTION("""COMPUTED_VALUE"""),"新北市立三重高級商工職業學校")</f>
        <v>新北市立三重高級商工職業學校</v>
      </c>
      <c r="E328" s="9" t="str">
        <f>IFERROR(__xludf.DUMMYFUNCTION("""COMPUTED_VALUE"""),"資處科")</f>
        <v>資處科</v>
      </c>
      <c r="F328" s="9" t="str">
        <f>IFERROR(__xludf.DUMMYFUNCTION("""COMPUTED_VALUE"""),"二年級")</f>
        <v>二年級</v>
      </c>
      <c r="G328" s="9" t="str">
        <f>IFERROR(__xludf.DUMMYFUNCTION("""COMPUTED_VALUE"""),"獎狀")</f>
        <v>獎狀</v>
      </c>
      <c r="H328" s="9"/>
    </row>
    <row r="329">
      <c r="A329" s="13" t="s">
        <v>11</v>
      </c>
      <c r="B329" s="9" t="str">
        <f>IFERROR(__xludf.DUMMYFUNCTION("""COMPUTED_VALUE"""),"陳O恩")</f>
        <v>陳O恩</v>
      </c>
      <c r="C329" s="9" t="str">
        <f>IFERROR(__xludf.DUMMYFUNCTION("""COMPUTED_VALUE"""),"s31*****g.scvs.ntpc.edu.tw")</f>
        <v>s31*****g.scvs.ntpc.edu.tw</v>
      </c>
      <c r="D329" s="9" t="str">
        <f>IFERROR(__xludf.DUMMYFUNCTION("""COMPUTED_VALUE"""),"新北市立三重高級商工職業學校")</f>
        <v>新北市立三重高級商工職業學校</v>
      </c>
      <c r="E329" s="9" t="str">
        <f>IFERROR(__xludf.DUMMYFUNCTION("""COMPUTED_VALUE"""),"資處科")</f>
        <v>資處科</v>
      </c>
      <c r="F329" s="9" t="str">
        <f>IFERROR(__xludf.DUMMYFUNCTION("""COMPUTED_VALUE"""),"二年級")</f>
        <v>二年級</v>
      </c>
      <c r="G329" s="9" t="str">
        <f>IFERROR(__xludf.DUMMYFUNCTION("""COMPUTED_VALUE"""),"獎狀")</f>
        <v>獎狀</v>
      </c>
      <c r="H329" s="9"/>
    </row>
    <row r="330">
      <c r="A330" s="13" t="s">
        <v>11</v>
      </c>
      <c r="B330" s="9" t="str">
        <f>IFERROR(__xludf.DUMMYFUNCTION("""COMPUTED_VALUE"""),"趙O萱")</f>
        <v>趙O萱</v>
      </c>
      <c r="C330" s="9" t="str">
        <f>IFERROR(__xludf.DUMMYFUNCTION("""COMPUTED_VALUE"""),"s31*****g.scvs.ntpc.edu.tw")</f>
        <v>s31*****g.scvs.ntpc.edu.tw</v>
      </c>
      <c r="D330" s="9" t="str">
        <f>IFERROR(__xludf.DUMMYFUNCTION("""COMPUTED_VALUE"""),"新北市立三重高級商工職業學校")</f>
        <v>新北市立三重高級商工職業學校</v>
      </c>
      <c r="E330" s="9" t="str">
        <f>IFERROR(__xludf.DUMMYFUNCTION("""COMPUTED_VALUE"""),"資處科")</f>
        <v>資處科</v>
      </c>
      <c r="F330" s="9" t="str">
        <f>IFERROR(__xludf.DUMMYFUNCTION("""COMPUTED_VALUE"""),"二年級")</f>
        <v>二年級</v>
      </c>
      <c r="G330" s="9" t="str">
        <f>IFERROR(__xludf.DUMMYFUNCTION("""COMPUTED_VALUE"""),"獎狀")</f>
        <v>獎狀</v>
      </c>
      <c r="H330" s="9"/>
    </row>
    <row r="331">
      <c r="A331" s="13" t="s">
        <v>11</v>
      </c>
      <c r="B331" s="9" t="str">
        <f>IFERROR(__xludf.DUMMYFUNCTION("""COMPUTED_VALUE"""),"林O安")</f>
        <v>林O安</v>
      </c>
      <c r="C331" s="9" t="str">
        <f>IFERROR(__xludf.DUMMYFUNCTION("""COMPUTED_VALUE"""),"s31*****g.scvs.ntpc.edu.tw")</f>
        <v>s31*****g.scvs.ntpc.edu.tw</v>
      </c>
      <c r="D331" s="9" t="str">
        <f>IFERROR(__xludf.DUMMYFUNCTION("""COMPUTED_VALUE"""),"新北市立三重高級商工職業學校")</f>
        <v>新北市立三重高級商工職業學校</v>
      </c>
      <c r="E331" s="9" t="str">
        <f>IFERROR(__xludf.DUMMYFUNCTION("""COMPUTED_VALUE"""),"資處科")</f>
        <v>資處科</v>
      </c>
      <c r="F331" s="9" t="str">
        <f>IFERROR(__xludf.DUMMYFUNCTION("""COMPUTED_VALUE"""),"二年級")</f>
        <v>二年級</v>
      </c>
      <c r="G331" s="9" t="str">
        <f>IFERROR(__xludf.DUMMYFUNCTION("""COMPUTED_VALUE"""),"獎狀")</f>
        <v>獎狀</v>
      </c>
      <c r="H331" s="9"/>
    </row>
    <row r="332">
      <c r="A332" s="13" t="s">
        <v>11</v>
      </c>
      <c r="B332" s="9" t="str">
        <f>IFERROR(__xludf.DUMMYFUNCTION("""COMPUTED_VALUE"""),"陳O綸")</f>
        <v>陳O綸</v>
      </c>
      <c r="C332" s="9" t="str">
        <f>IFERROR(__xludf.DUMMYFUNCTION("""COMPUTED_VALUE"""),"s31*****g.scvs.ntpc.edu.tw")</f>
        <v>s31*****g.scvs.ntpc.edu.tw</v>
      </c>
      <c r="D332" s="9" t="str">
        <f>IFERROR(__xludf.DUMMYFUNCTION("""COMPUTED_VALUE"""),"新北市立三重高級商工職業學校")</f>
        <v>新北市立三重高級商工職業學校</v>
      </c>
      <c r="E332" s="9" t="str">
        <f>IFERROR(__xludf.DUMMYFUNCTION("""COMPUTED_VALUE"""),"資處科")</f>
        <v>資處科</v>
      </c>
      <c r="F332" s="9" t="str">
        <f>IFERROR(__xludf.DUMMYFUNCTION("""COMPUTED_VALUE"""),"二年級")</f>
        <v>二年級</v>
      </c>
      <c r="G332" s="9" t="str">
        <f>IFERROR(__xludf.DUMMYFUNCTION("""COMPUTED_VALUE"""),"獎狀")</f>
        <v>獎狀</v>
      </c>
      <c r="H332" s="9"/>
    </row>
    <row r="333">
      <c r="A333" s="13" t="s">
        <v>11</v>
      </c>
      <c r="B333" s="9" t="str">
        <f>IFERROR(__xludf.DUMMYFUNCTION("""COMPUTED_VALUE"""),"胡O禎")</f>
        <v>胡O禎</v>
      </c>
      <c r="C333" s="9" t="str">
        <f>IFERROR(__xludf.DUMMYFUNCTION("""COMPUTED_VALUE"""),"s31*****g.scvs.ntpc.edu.tw")</f>
        <v>s31*****g.scvs.ntpc.edu.tw</v>
      </c>
      <c r="D333" s="9" t="str">
        <f>IFERROR(__xludf.DUMMYFUNCTION("""COMPUTED_VALUE"""),"新北市立三重高級商工職業學校")</f>
        <v>新北市立三重高級商工職業學校</v>
      </c>
      <c r="E333" s="9" t="str">
        <f>IFERROR(__xludf.DUMMYFUNCTION("""COMPUTED_VALUE"""),"資處科")</f>
        <v>資處科</v>
      </c>
      <c r="F333" s="9" t="str">
        <f>IFERROR(__xludf.DUMMYFUNCTION("""COMPUTED_VALUE"""),"二年級")</f>
        <v>二年級</v>
      </c>
      <c r="G333" s="9" t="str">
        <f>IFERROR(__xludf.DUMMYFUNCTION("""COMPUTED_VALUE"""),"獎狀")</f>
        <v>獎狀</v>
      </c>
      <c r="H333" s="9"/>
    </row>
    <row r="334">
      <c r="A334" s="13" t="s">
        <v>11</v>
      </c>
      <c r="B334" s="9" t="str">
        <f>IFERROR(__xludf.DUMMYFUNCTION("""COMPUTED_VALUE"""),"張O安")</f>
        <v>張O安</v>
      </c>
      <c r="C334" s="9" t="str">
        <f>IFERROR(__xludf.DUMMYFUNCTION("""COMPUTED_VALUE"""),"s31*****g.scvs.ntpc.edu.tw")</f>
        <v>s31*****g.scvs.ntpc.edu.tw</v>
      </c>
      <c r="D334" s="9" t="str">
        <f>IFERROR(__xludf.DUMMYFUNCTION("""COMPUTED_VALUE"""),"新北市立三重高級商工職業學校")</f>
        <v>新北市立三重高級商工職業學校</v>
      </c>
      <c r="E334" s="9" t="str">
        <f>IFERROR(__xludf.DUMMYFUNCTION("""COMPUTED_VALUE"""),"資處科")</f>
        <v>資處科</v>
      </c>
      <c r="F334" s="9" t="str">
        <f>IFERROR(__xludf.DUMMYFUNCTION("""COMPUTED_VALUE"""),"二年級")</f>
        <v>二年級</v>
      </c>
      <c r="G334" s="9" t="str">
        <f>IFERROR(__xludf.DUMMYFUNCTION("""COMPUTED_VALUE"""),"獎狀")</f>
        <v>獎狀</v>
      </c>
      <c r="H334" s="9"/>
    </row>
    <row r="335">
      <c r="A335" s="13" t="s">
        <v>11</v>
      </c>
      <c r="B335" s="9" t="str">
        <f>IFERROR(__xludf.DUMMYFUNCTION("""COMPUTED_VALUE"""),"施O彥")</f>
        <v>施O彥</v>
      </c>
      <c r="C335" s="9" t="str">
        <f>IFERROR(__xludf.DUMMYFUNCTION("""COMPUTED_VALUE"""),"s31*****g.scvs.ntpc.edu.tw")</f>
        <v>s31*****g.scvs.ntpc.edu.tw</v>
      </c>
      <c r="D335" s="9" t="str">
        <f>IFERROR(__xludf.DUMMYFUNCTION("""COMPUTED_VALUE"""),"新北市立三重高級商工職業學校")</f>
        <v>新北市立三重高級商工職業學校</v>
      </c>
      <c r="E335" s="9" t="str">
        <f>IFERROR(__xludf.DUMMYFUNCTION("""COMPUTED_VALUE"""),"資處科")</f>
        <v>資處科</v>
      </c>
      <c r="F335" s="9" t="str">
        <f>IFERROR(__xludf.DUMMYFUNCTION("""COMPUTED_VALUE"""),"二年級")</f>
        <v>二年級</v>
      </c>
      <c r="G335" s="9" t="str">
        <f>IFERROR(__xludf.DUMMYFUNCTION("""COMPUTED_VALUE"""),"■商品卡$200")</f>
        <v>■商品卡$200</v>
      </c>
      <c r="H335" s="9"/>
    </row>
    <row r="336">
      <c r="A336" s="13" t="s">
        <v>11</v>
      </c>
      <c r="B336" s="9" t="str">
        <f>IFERROR(__xludf.DUMMYFUNCTION("""COMPUTED_VALUE"""),"孫O涵")</f>
        <v>孫O涵</v>
      </c>
      <c r="C336" s="9" t="str">
        <f>IFERROR(__xludf.DUMMYFUNCTION("""COMPUTED_VALUE"""),"s31*****g.scvs.ntpc.edu.tw")</f>
        <v>s31*****g.scvs.ntpc.edu.tw</v>
      </c>
      <c r="D336" s="9" t="str">
        <f>IFERROR(__xludf.DUMMYFUNCTION("""COMPUTED_VALUE"""),"新北市立三重高級商工職業學校")</f>
        <v>新北市立三重高級商工職業學校</v>
      </c>
      <c r="E336" s="9" t="str">
        <f>IFERROR(__xludf.DUMMYFUNCTION("""COMPUTED_VALUE"""),"資處科")</f>
        <v>資處科</v>
      </c>
      <c r="F336" s="9" t="str">
        <f>IFERROR(__xludf.DUMMYFUNCTION("""COMPUTED_VALUE"""),"二年級")</f>
        <v>二年級</v>
      </c>
      <c r="G336" s="9" t="str">
        <f>IFERROR(__xludf.DUMMYFUNCTION("""COMPUTED_VALUE"""),"獎狀")</f>
        <v>獎狀</v>
      </c>
      <c r="H336" s="9"/>
    </row>
    <row r="337">
      <c r="A337" s="13" t="s">
        <v>11</v>
      </c>
      <c r="B337" s="9" t="str">
        <f>IFERROR(__xludf.DUMMYFUNCTION("""COMPUTED_VALUE"""),"蘇O瑜")</f>
        <v>蘇O瑜</v>
      </c>
      <c r="C337" s="9" t="str">
        <f>IFERROR(__xludf.DUMMYFUNCTION("""COMPUTED_VALUE"""),"s31*****g.scvs.ntpc.edu.tw")</f>
        <v>s31*****g.scvs.ntpc.edu.tw</v>
      </c>
      <c r="D337" s="9" t="str">
        <f>IFERROR(__xludf.DUMMYFUNCTION("""COMPUTED_VALUE"""),"新北市立三重高級商工職業學校")</f>
        <v>新北市立三重高級商工職業學校</v>
      </c>
      <c r="E337" s="9" t="str">
        <f>IFERROR(__xludf.DUMMYFUNCTION("""COMPUTED_VALUE"""),"資處科")</f>
        <v>資處科</v>
      </c>
      <c r="F337" s="9" t="str">
        <f>IFERROR(__xludf.DUMMYFUNCTION("""COMPUTED_VALUE"""),"二年級")</f>
        <v>二年級</v>
      </c>
      <c r="G337" s="9" t="str">
        <f>IFERROR(__xludf.DUMMYFUNCTION("""COMPUTED_VALUE"""),"獎狀")</f>
        <v>獎狀</v>
      </c>
      <c r="H337" s="9"/>
    </row>
    <row r="338">
      <c r="A338" s="13" t="s">
        <v>11</v>
      </c>
      <c r="B338" s="9" t="str">
        <f>IFERROR(__xludf.DUMMYFUNCTION("""COMPUTED_VALUE"""),"陳O銨")</f>
        <v>陳O銨</v>
      </c>
      <c r="C338" s="9" t="str">
        <f>IFERROR(__xludf.DUMMYFUNCTION("""COMPUTED_VALUE"""),"s31*****g.scvs.ntpc.edu.tw")</f>
        <v>s31*****g.scvs.ntpc.edu.tw</v>
      </c>
      <c r="D338" s="9" t="str">
        <f>IFERROR(__xludf.DUMMYFUNCTION("""COMPUTED_VALUE"""),"新北市立三重高級商工職業學校")</f>
        <v>新北市立三重高級商工職業學校</v>
      </c>
      <c r="E338" s="9" t="str">
        <f>IFERROR(__xludf.DUMMYFUNCTION("""COMPUTED_VALUE"""),"資處科")</f>
        <v>資處科</v>
      </c>
      <c r="F338" s="9" t="str">
        <f>IFERROR(__xludf.DUMMYFUNCTION("""COMPUTED_VALUE"""),"二年級")</f>
        <v>二年級</v>
      </c>
      <c r="G338" s="9" t="str">
        <f>IFERROR(__xludf.DUMMYFUNCTION("""COMPUTED_VALUE"""),"○商品卡$500")</f>
        <v>○商品卡$500</v>
      </c>
      <c r="H338" s="9"/>
    </row>
    <row r="339">
      <c r="A339" s="13" t="s">
        <v>11</v>
      </c>
      <c r="B339" s="9" t="str">
        <f>IFERROR(__xludf.DUMMYFUNCTION("""COMPUTED_VALUE"""),"邱O淋")</f>
        <v>邱O淋</v>
      </c>
      <c r="C339" s="9" t="str">
        <f>IFERROR(__xludf.DUMMYFUNCTION("""COMPUTED_VALUE"""),"s31*****g.scvs.ntpc.edu.tw")</f>
        <v>s31*****g.scvs.ntpc.edu.tw</v>
      </c>
      <c r="D339" s="9" t="str">
        <f>IFERROR(__xludf.DUMMYFUNCTION("""COMPUTED_VALUE"""),"新北市立三重高級商工職業學校")</f>
        <v>新北市立三重高級商工職業學校</v>
      </c>
      <c r="E339" s="9" t="str">
        <f>IFERROR(__xludf.DUMMYFUNCTION("""COMPUTED_VALUE"""),"資處科")</f>
        <v>資處科</v>
      </c>
      <c r="F339" s="9" t="str">
        <f>IFERROR(__xludf.DUMMYFUNCTION("""COMPUTED_VALUE"""),"二年級")</f>
        <v>二年級</v>
      </c>
      <c r="G339" s="9" t="str">
        <f>IFERROR(__xludf.DUMMYFUNCTION("""COMPUTED_VALUE"""),"獎狀")</f>
        <v>獎狀</v>
      </c>
      <c r="H339" s="9"/>
    </row>
    <row r="340">
      <c r="A340" s="13" t="s">
        <v>11</v>
      </c>
      <c r="B340" s="9" t="str">
        <f>IFERROR(__xludf.DUMMYFUNCTION("""COMPUTED_VALUE"""),"李O信")</f>
        <v>李O信</v>
      </c>
      <c r="C340" s="9" t="str">
        <f>IFERROR(__xludf.DUMMYFUNCTION("""COMPUTED_VALUE"""),"s31*****g.scvs.ntpc.edu.tw")</f>
        <v>s31*****g.scvs.ntpc.edu.tw</v>
      </c>
      <c r="D340" s="9" t="str">
        <f>IFERROR(__xludf.DUMMYFUNCTION("""COMPUTED_VALUE"""),"新北市立三重高級商工職業學校")</f>
        <v>新北市立三重高級商工職業學校</v>
      </c>
      <c r="E340" s="9" t="str">
        <f>IFERROR(__xludf.DUMMYFUNCTION("""COMPUTED_VALUE"""),"資處科")</f>
        <v>資處科</v>
      </c>
      <c r="F340" s="9" t="str">
        <f>IFERROR(__xludf.DUMMYFUNCTION("""COMPUTED_VALUE"""),"二年級")</f>
        <v>二年級</v>
      </c>
      <c r="G340" s="9" t="str">
        <f>IFERROR(__xludf.DUMMYFUNCTION("""COMPUTED_VALUE"""),"獎狀")</f>
        <v>獎狀</v>
      </c>
      <c r="H340" s="9"/>
    </row>
    <row r="341">
      <c r="A341" s="13" t="s">
        <v>11</v>
      </c>
      <c r="B341" s="9" t="str">
        <f>IFERROR(__xludf.DUMMYFUNCTION("""COMPUTED_VALUE"""),"游O穎")</f>
        <v>游O穎</v>
      </c>
      <c r="C341" s="9" t="str">
        <f>IFERROR(__xludf.DUMMYFUNCTION("""COMPUTED_VALUE"""),"s31*****g.scvs.ntpc.edu.tw")</f>
        <v>s31*****g.scvs.ntpc.edu.tw</v>
      </c>
      <c r="D341" s="9" t="str">
        <f>IFERROR(__xludf.DUMMYFUNCTION("""COMPUTED_VALUE"""),"新北市立三重高級商工職業學校")</f>
        <v>新北市立三重高級商工職業學校</v>
      </c>
      <c r="E341" s="9" t="str">
        <f>IFERROR(__xludf.DUMMYFUNCTION("""COMPUTED_VALUE"""),"資處科")</f>
        <v>資處科</v>
      </c>
      <c r="F341" s="9" t="str">
        <f>IFERROR(__xludf.DUMMYFUNCTION("""COMPUTED_VALUE"""),"二年級")</f>
        <v>二年級</v>
      </c>
      <c r="G341" s="9" t="str">
        <f>IFERROR(__xludf.DUMMYFUNCTION("""COMPUTED_VALUE"""),"獎狀")</f>
        <v>獎狀</v>
      </c>
      <c r="H341" s="9"/>
    </row>
    <row r="342">
      <c r="A342" s="13" t="s">
        <v>11</v>
      </c>
      <c r="B342" s="9" t="str">
        <f>IFERROR(__xludf.DUMMYFUNCTION("""COMPUTED_VALUE"""),"蔡O立")</f>
        <v>蔡O立</v>
      </c>
      <c r="C342" s="9" t="str">
        <f>IFERROR(__xludf.DUMMYFUNCTION("""COMPUTED_VALUE"""),"s31*****g.scvs.ntpc.edu.tw")</f>
        <v>s31*****g.scvs.ntpc.edu.tw</v>
      </c>
      <c r="D342" s="9" t="str">
        <f>IFERROR(__xludf.DUMMYFUNCTION("""COMPUTED_VALUE"""),"新北市立三重高級商工職業學校")</f>
        <v>新北市立三重高級商工職業學校</v>
      </c>
      <c r="E342" s="9" t="str">
        <f>IFERROR(__xludf.DUMMYFUNCTION("""COMPUTED_VALUE"""),"資處科")</f>
        <v>資處科</v>
      </c>
      <c r="F342" s="9" t="str">
        <f>IFERROR(__xludf.DUMMYFUNCTION("""COMPUTED_VALUE"""),"二年級")</f>
        <v>二年級</v>
      </c>
      <c r="G342" s="9" t="str">
        <f>IFERROR(__xludf.DUMMYFUNCTION("""COMPUTED_VALUE"""),"獎狀")</f>
        <v>獎狀</v>
      </c>
      <c r="H342" s="9"/>
    </row>
    <row r="343">
      <c r="A343" s="13" t="s">
        <v>11</v>
      </c>
      <c r="B343" s="9" t="str">
        <f>IFERROR(__xludf.DUMMYFUNCTION("""COMPUTED_VALUE"""),"翁O祐")</f>
        <v>翁O祐</v>
      </c>
      <c r="C343" s="9" t="str">
        <f>IFERROR(__xludf.DUMMYFUNCTION("""COMPUTED_VALUE"""),"s31*****g.scvs.ntpc.edu.tw")</f>
        <v>s31*****g.scvs.ntpc.edu.tw</v>
      </c>
      <c r="D343" s="9" t="str">
        <f>IFERROR(__xludf.DUMMYFUNCTION("""COMPUTED_VALUE"""),"新北市立三重高級商工職業學校")</f>
        <v>新北市立三重高級商工職業學校</v>
      </c>
      <c r="E343" s="9" t="str">
        <f>IFERROR(__xludf.DUMMYFUNCTION("""COMPUTED_VALUE"""),"資處科")</f>
        <v>資處科</v>
      </c>
      <c r="F343" s="9" t="str">
        <f>IFERROR(__xludf.DUMMYFUNCTION("""COMPUTED_VALUE"""),"二年級")</f>
        <v>二年級</v>
      </c>
      <c r="G343" s="9" t="str">
        <f>IFERROR(__xludf.DUMMYFUNCTION("""COMPUTED_VALUE"""),"獎狀")</f>
        <v>獎狀</v>
      </c>
      <c r="H343" s="9"/>
    </row>
    <row r="344">
      <c r="A344" s="13" t="s">
        <v>11</v>
      </c>
      <c r="B344" s="9" t="str">
        <f>IFERROR(__xludf.DUMMYFUNCTION("""COMPUTED_VALUE"""),"吳O頤")</f>
        <v>吳O頤</v>
      </c>
      <c r="C344" s="9" t="str">
        <f>IFERROR(__xludf.DUMMYFUNCTION("""COMPUTED_VALUE"""),"s31*****g.scvs.ntpc.edu.tw")</f>
        <v>s31*****g.scvs.ntpc.edu.tw</v>
      </c>
      <c r="D344" s="9" t="str">
        <f>IFERROR(__xludf.DUMMYFUNCTION("""COMPUTED_VALUE"""),"新北市立三重高級商工職業學校")</f>
        <v>新北市立三重高級商工職業學校</v>
      </c>
      <c r="E344" s="9" t="str">
        <f>IFERROR(__xludf.DUMMYFUNCTION("""COMPUTED_VALUE"""),"資處科")</f>
        <v>資處科</v>
      </c>
      <c r="F344" s="9" t="str">
        <f>IFERROR(__xludf.DUMMYFUNCTION("""COMPUTED_VALUE"""),"二年級")</f>
        <v>二年級</v>
      </c>
      <c r="G344" s="9" t="str">
        <f>IFERROR(__xludf.DUMMYFUNCTION("""COMPUTED_VALUE"""),"獎狀")</f>
        <v>獎狀</v>
      </c>
      <c r="H344" s="9"/>
    </row>
    <row r="345">
      <c r="A345" s="13" t="s">
        <v>11</v>
      </c>
      <c r="B345" s="9" t="str">
        <f>IFERROR(__xludf.DUMMYFUNCTION("""COMPUTED_VALUE"""),"林O宸")</f>
        <v>林O宸</v>
      </c>
      <c r="C345" s="9" t="str">
        <f>IFERROR(__xludf.DUMMYFUNCTION("""COMPUTED_VALUE"""),"s31*****g.scvs.ntpc.edu.tw")</f>
        <v>s31*****g.scvs.ntpc.edu.tw</v>
      </c>
      <c r="D345" s="9" t="str">
        <f>IFERROR(__xludf.DUMMYFUNCTION("""COMPUTED_VALUE"""),"新北市立三重高級商工職業學校")</f>
        <v>新北市立三重高級商工職業學校</v>
      </c>
      <c r="E345" s="9" t="str">
        <f>IFERROR(__xludf.DUMMYFUNCTION("""COMPUTED_VALUE"""),"資處科")</f>
        <v>資處科</v>
      </c>
      <c r="F345" s="9" t="str">
        <f>IFERROR(__xludf.DUMMYFUNCTION("""COMPUTED_VALUE"""),"二年級")</f>
        <v>二年級</v>
      </c>
      <c r="G345" s="9" t="str">
        <f>IFERROR(__xludf.DUMMYFUNCTION("""COMPUTED_VALUE"""),"獎狀")</f>
        <v>獎狀</v>
      </c>
      <c r="H345" s="9"/>
    </row>
    <row r="346">
      <c r="A346" s="13" t="s">
        <v>11</v>
      </c>
      <c r="B346" s="9" t="str">
        <f>IFERROR(__xludf.DUMMYFUNCTION("""COMPUTED_VALUE"""),"張O葶")</f>
        <v>張O葶</v>
      </c>
      <c r="C346" s="9" t="str">
        <f>IFERROR(__xludf.DUMMYFUNCTION("""COMPUTED_VALUE"""),"s31*****g.scvs.ntpc.edu.tw")</f>
        <v>s31*****g.scvs.ntpc.edu.tw</v>
      </c>
      <c r="D346" s="9" t="str">
        <f>IFERROR(__xludf.DUMMYFUNCTION("""COMPUTED_VALUE"""),"新北市立三重高級商工職業學校")</f>
        <v>新北市立三重高級商工職業學校</v>
      </c>
      <c r="E346" s="9" t="str">
        <f>IFERROR(__xludf.DUMMYFUNCTION("""COMPUTED_VALUE"""),"資處科")</f>
        <v>資處科</v>
      </c>
      <c r="F346" s="9" t="str">
        <f>IFERROR(__xludf.DUMMYFUNCTION("""COMPUTED_VALUE"""),"二年級")</f>
        <v>二年級</v>
      </c>
      <c r="G346" s="9" t="str">
        <f>IFERROR(__xludf.DUMMYFUNCTION("""COMPUTED_VALUE"""),"獎狀")</f>
        <v>獎狀</v>
      </c>
      <c r="H346" s="9"/>
    </row>
    <row r="347">
      <c r="A347" s="13" t="s">
        <v>11</v>
      </c>
      <c r="B347" s="9" t="str">
        <f>IFERROR(__xludf.DUMMYFUNCTION("""COMPUTED_VALUE"""),"余O忠")</f>
        <v>余O忠</v>
      </c>
      <c r="C347" s="9" t="str">
        <f>IFERROR(__xludf.DUMMYFUNCTION("""COMPUTED_VALUE"""),"s31*****g.scvs.ntpc.edu.tw")</f>
        <v>s31*****g.scvs.ntpc.edu.tw</v>
      </c>
      <c r="D347" s="9" t="str">
        <f>IFERROR(__xludf.DUMMYFUNCTION("""COMPUTED_VALUE"""),"新北市立三重高級商工職業學校")</f>
        <v>新北市立三重高級商工職業學校</v>
      </c>
      <c r="E347" s="9" t="str">
        <f>IFERROR(__xludf.DUMMYFUNCTION("""COMPUTED_VALUE"""),"資處科")</f>
        <v>資處科</v>
      </c>
      <c r="F347" s="9" t="str">
        <f>IFERROR(__xludf.DUMMYFUNCTION("""COMPUTED_VALUE"""),"二年級")</f>
        <v>二年級</v>
      </c>
      <c r="G347" s="9" t="str">
        <f>IFERROR(__xludf.DUMMYFUNCTION("""COMPUTED_VALUE"""),"獎狀")</f>
        <v>獎狀</v>
      </c>
      <c r="H347" s="9"/>
    </row>
    <row r="348">
      <c r="A348" s="13" t="s">
        <v>11</v>
      </c>
      <c r="B348" s="9" t="str">
        <f>IFERROR(__xludf.DUMMYFUNCTION("""COMPUTED_VALUE"""),"黃O雁")</f>
        <v>黃O雁</v>
      </c>
      <c r="C348" s="9" t="str">
        <f>IFERROR(__xludf.DUMMYFUNCTION("""COMPUTED_VALUE"""),"s31*****g.scvs.ntpc.edu.tw")</f>
        <v>s31*****g.scvs.ntpc.edu.tw</v>
      </c>
      <c r="D348" s="9" t="str">
        <f>IFERROR(__xludf.DUMMYFUNCTION("""COMPUTED_VALUE"""),"新北市立三重高級商工職業學校")</f>
        <v>新北市立三重高級商工職業學校</v>
      </c>
      <c r="E348" s="9" t="str">
        <f>IFERROR(__xludf.DUMMYFUNCTION("""COMPUTED_VALUE"""),"資處科")</f>
        <v>資處科</v>
      </c>
      <c r="F348" s="9" t="str">
        <f>IFERROR(__xludf.DUMMYFUNCTION("""COMPUTED_VALUE"""),"二年級")</f>
        <v>二年級</v>
      </c>
      <c r="G348" s="9" t="str">
        <f>IFERROR(__xludf.DUMMYFUNCTION("""COMPUTED_VALUE"""),"獎狀")</f>
        <v>獎狀</v>
      </c>
      <c r="H348" s="9"/>
    </row>
    <row r="349">
      <c r="A349" s="13" t="s">
        <v>11</v>
      </c>
      <c r="B349" s="9" t="str">
        <f>IFERROR(__xludf.DUMMYFUNCTION("""COMPUTED_VALUE"""),"鄭O愷")</f>
        <v>鄭O愷</v>
      </c>
      <c r="C349" s="9" t="str">
        <f>IFERROR(__xludf.DUMMYFUNCTION("""COMPUTED_VALUE"""),"s31*****g.scvs.ntpc.edu.tw")</f>
        <v>s31*****g.scvs.ntpc.edu.tw</v>
      </c>
      <c r="D349" s="9" t="str">
        <f>IFERROR(__xludf.DUMMYFUNCTION("""COMPUTED_VALUE"""),"新北市立三重高級商工職業學校")</f>
        <v>新北市立三重高級商工職業學校</v>
      </c>
      <c r="E349" s="9" t="str">
        <f>IFERROR(__xludf.DUMMYFUNCTION("""COMPUTED_VALUE"""),"資處科")</f>
        <v>資處科</v>
      </c>
      <c r="F349" s="9" t="str">
        <f>IFERROR(__xludf.DUMMYFUNCTION("""COMPUTED_VALUE"""),"二年級")</f>
        <v>二年級</v>
      </c>
      <c r="G349" s="9" t="str">
        <f>IFERROR(__xludf.DUMMYFUNCTION("""COMPUTED_VALUE"""),"獎狀")</f>
        <v>獎狀</v>
      </c>
      <c r="H349" s="9"/>
    </row>
    <row r="350">
      <c r="A350" s="13" t="s">
        <v>11</v>
      </c>
      <c r="B350" s="9" t="str">
        <f>IFERROR(__xludf.DUMMYFUNCTION("""COMPUTED_VALUE"""),"丁O展")</f>
        <v>丁O展</v>
      </c>
      <c r="C350" s="9" t="str">
        <f>IFERROR(__xludf.DUMMYFUNCTION("""COMPUTED_VALUE"""),"din*****ing1992@gmail.com")</f>
        <v>din*****ing1992@gmail.com</v>
      </c>
      <c r="D350" s="9" t="str">
        <f>IFERROR(__xludf.DUMMYFUNCTION("""COMPUTED_VALUE"""),"新北市立三重高級商工職業學校")</f>
        <v>新北市立三重高級商工職業學校</v>
      </c>
      <c r="E350" s="9" t="str">
        <f>IFERROR(__xludf.DUMMYFUNCTION("""COMPUTED_VALUE"""),"資處科")</f>
        <v>資處科</v>
      </c>
      <c r="F350" s="9" t="str">
        <f>IFERROR(__xludf.DUMMYFUNCTION("""COMPUTED_VALUE"""),"三年級")</f>
        <v>三年級</v>
      </c>
      <c r="G350" s="9" t="str">
        <f>IFERROR(__xludf.DUMMYFUNCTION("""COMPUTED_VALUE"""),"獎狀")</f>
        <v>獎狀</v>
      </c>
      <c r="H350" s="9"/>
    </row>
    <row r="351">
      <c r="A351" s="13" t="s">
        <v>11</v>
      </c>
      <c r="B351" s="9" t="str">
        <f>IFERROR(__xludf.DUMMYFUNCTION("""COMPUTED_VALUE"""),"石O軒")</f>
        <v>石O軒</v>
      </c>
      <c r="C351" s="9" t="str">
        <f>IFERROR(__xludf.DUMMYFUNCTION("""COMPUTED_VALUE"""),"ysh*****9@gmail.com")</f>
        <v>ysh*****9@gmail.com</v>
      </c>
      <c r="D351" s="9" t="str">
        <f>IFERROR(__xludf.DUMMYFUNCTION("""COMPUTED_VALUE"""),"新北市立三重高級商工職業學校")</f>
        <v>新北市立三重高級商工職業學校</v>
      </c>
      <c r="E351" s="9" t="str">
        <f>IFERROR(__xludf.DUMMYFUNCTION("""COMPUTED_VALUE"""),"製圖")</f>
        <v>製圖</v>
      </c>
      <c r="F351" s="9" t="str">
        <f>IFERROR(__xludf.DUMMYFUNCTION("""COMPUTED_VALUE"""),"三年級")</f>
        <v>三年級</v>
      </c>
      <c r="G351" s="9" t="str">
        <f>IFERROR(__xludf.DUMMYFUNCTION("""COMPUTED_VALUE"""),"獎狀")</f>
        <v>獎狀</v>
      </c>
      <c r="H351" s="9"/>
    </row>
    <row r="352">
      <c r="A352" s="13" t="s">
        <v>11</v>
      </c>
      <c r="B352" s="9" t="str">
        <f>IFERROR(__xludf.DUMMYFUNCTION("""COMPUTED_VALUE"""),"陳O妮")</f>
        <v>陳O妮</v>
      </c>
      <c r="C352" s="9" t="str">
        <f>IFERROR(__xludf.DUMMYFUNCTION("""COMPUTED_VALUE"""),"s21*****g.scvs.ntpc.edu.tw")</f>
        <v>s21*****g.scvs.ntpc.edu.tw</v>
      </c>
      <c r="D352" s="9" t="str">
        <f>IFERROR(__xludf.DUMMYFUNCTION("""COMPUTED_VALUE"""),"新北市立三重高級商工職業學校")</f>
        <v>新北市立三重高級商工職業學校</v>
      </c>
      <c r="E352" s="9" t="str">
        <f>IFERROR(__xludf.DUMMYFUNCTION("""COMPUTED_VALUE"""),"製圖")</f>
        <v>製圖</v>
      </c>
      <c r="F352" s="9" t="str">
        <f>IFERROR(__xludf.DUMMYFUNCTION("""COMPUTED_VALUE"""),"三年級")</f>
        <v>三年級</v>
      </c>
      <c r="G352" s="9" t="str">
        <f>IFERROR(__xludf.DUMMYFUNCTION("""COMPUTED_VALUE"""),"獎狀")</f>
        <v>獎狀</v>
      </c>
      <c r="H352" s="9"/>
    </row>
    <row r="353">
      <c r="A353" s="13" t="s">
        <v>11</v>
      </c>
      <c r="B353" s="9" t="str">
        <f>IFERROR(__xludf.DUMMYFUNCTION("""COMPUTED_VALUE"""),"邵O鈞")</f>
        <v>邵O鈞</v>
      </c>
      <c r="C353" s="9" t="str">
        <f>IFERROR(__xludf.DUMMYFUNCTION("""COMPUTED_VALUE"""),"s31*****g.scvs.ntpc.edu.tw")</f>
        <v>s31*****g.scvs.ntpc.edu.tw</v>
      </c>
      <c r="D353" s="9" t="str">
        <f>IFERROR(__xludf.DUMMYFUNCTION("""COMPUTED_VALUE"""),"新北市立三重高級商工職業學校")</f>
        <v>新北市立三重高級商工職業學校</v>
      </c>
      <c r="E353" s="9" t="str">
        <f>IFERROR(__xludf.DUMMYFUNCTION("""COMPUTED_VALUE"""),"製圖科")</f>
        <v>製圖科</v>
      </c>
      <c r="F353" s="9" t="str">
        <f>IFERROR(__xludf.DUMMYFUNCTION("""COMPUTED_VALUE"""),"一年級")</f>
        <v>一年級</v>
      </c>
      <c r="G353" s="9" t="str">
        <f>IFERROR(__xludf.DUMMYFUNCTION("""COMPUTED_VALUE"""),"○商品卡$500")</f>
        <v>○商品卡$500</v>
      </c>
      <c r="H353" s="9"/>
    </row>
    <row r="354">
      <c r="A354" s="13" t="s">
        <v>11</v>
      </c>
      <c r="B354" s="9" t="str">
        <f>IFERROR(__xludf.DUMMYFUNCTION("""COMPUTED_VALUE"""),"蔡O諺")</f>
        <v>蔡O諺</v>
      </c>
      <c r="C354" s="9" t="str">
        <f>IFERROR(__xludf.DUMMYFUNCTION("""COMPUTED_VALUE"""),"ian*****59@gmail.com")</f>
        <v>ian*****59@gmail.com</v>
      </c>
      <c r="D354" s="9" t="str">
        <f>IFERROR(__xludf.DUMMYFUNCTION("""COMPUTED_VALUE"""),"新北市立三重高級商工職業學校")</f>
        <v>新北市立三重高級商工職業學校</v>
      </c>
      <c r="E354" s="9" t="str">
        <f>IFERROR(__xludf.DUMMYFUNCTION("""COMPUTED_VALUE"""),"製圖科")</f>
        <v>製圖科</v>
      </c>
      <c r="F354" s="9" t="str">
        <f>IFERROR(__xludf.DUMMYFUNCTION("""COMPUTED_VALUE"""),"二年級")</f>
        <v>二年級</v>
      </c>
      <c r="G354" s="9" t="str">
        <f>IFERROR(__xludf.DUMMYFUNCTION("""COMPUTED_VALUE"""),"○商品卡$500")</f>
        <v>○商品卡$500</v>
      </c>
      <c r="H354" s="9"/>
    </row>
    <row r="355">
      <c r="A355" s="13" t="s">
        <v>11</v>
      </c>
      <c r="B355" s="9" t="str">
        <f>IFERROR(__xludf.DUMMYFUNCTION("""COMPUTED_VALUE"""),"許O鈞")</f>
        <v>許O鈞</v>
      </c>
      <c r="C355" s="9" t="str">
        <f>IFERROR(__xludf.DUMMYFUNCTION("""COMPUTED_VALUE"""),"s21*****g.scvs.ntpc.edu.tw")</f>
        <v>s21*****g.scvs.ntpc.edu.tw</v>
      </c>
      <c r="D355" s="9" t="str">
        <f>IFERROR(__xludf.DUMMYFUNCTION("""COMPUTED_VALUE"""),"新北市立三重高級商工職業學校")</f>
        <v>新北市立三重高級商工職業學校</v>
      </c>
      <c r="E355" s="9" t="str">
        <f>IFERROR(__xludf.DUMMYFUNCTION("""COMPUTED_VALUE"""),"製圖科")</f>
        <v>製圖科</v>
      </c>
      <c r="F355" s="9" t="str">
        <f>IFERROR(__xludf.DUMMYFUNCTION("""COMPUTED_VALUE"""),"三年級")</f>
        <v>三年級</v>
      </c>
      <c r="G355" s="9" t="str">
        <f>IFERROR(__xludf.DUMMYFUNCTION("""COMPUTED_VALUE"""),"獎狀")</f>
        <v>獎狀</v>
      </c>
      <c r="H355" s="9"/>
    </row>
    <row r="356">
      <c r="A356" s="13" t="s">
        <v>11</v>
      </c>
      <c r="B356" s="9" t="str">
        <f>IFERROR(__xludf.DUMMYFUNCTION("""COMPUTED_VALUE"""),"李O瑋")</f>
        <v>李O瑋</v>
      </c>
      <c r="C356" s="9" t="str">
        <f>IFERROR(__xludf.DUMMYFUNCTION("""COMPUTED_VALUE"""),"955*****@gmail.com")</f>
        <v>955*****@gmail.com</v>
      </c>
      <c r="D356" s="9" t="str">
        <f>IFERROR(__xludf.DUMMYFUNCTION("""COMPUTED_VALUE"""),"新北市立三重高級商工職業學校")</f>
        <v>新北市立三重高級商工職業學校</v>
      </c>
      <c r="E356" s="9" t="str">
        <f>IFERROR(__xludf.DUMMYFUNCTION("""COMPUTED_VALUE"""),"製圖科")</f>
        <v>製圖科</v>
      </c>
      <c r="F356" s="9" t="str">
        <f>IFERROR(__xludf.DUMMYFUNCTION("""COMPUTED_VALUE"""),"三年級")</f>
        <v>三年級</v>
      </c>
      <c r="G356" s="9" t="str">
        <f>IFERROR(__xludf.DUMMYFUNCTION("""COMPUTED_VALUE"""),"獎狀")</f>
        <v>獎狀</v>
      </c>
      <c r="H356" s="9"/>
    </row>
    <row r="357">
      <c r="A357" s="13" t="s">
        <v>11</v>
      </c>
      <c r="B357" s="9" t="str">
        <f>IFERROR(__xludf.DUMMYFUNCTION("""COMPUTED_VALUE"""),"薛O允")</f>
        <v>薛O允</v>
      </c>
      <c r="C357" s="9" t="str">
        <f>IFERROR(__xludf.DUMMYFUNCTION("""COMPUTED_VALUE"""),"aid*****80625@gmail.com")</f>
        <v>aid*****80625@gmail.com</v>
      </c>
      <c r="D357" s="9" t="str">
        <f>IFERROR(__xludf.DUMMYFUNCTION("""COMPUTED_VALUE"""),"新北市立三重高級商工職業學校")</f>
        <v>新北市立三重高級商工職業學校</v>
      </c>
      <c r="E357" s="9" t="str">
        <f>IFERROR(__xludf.DUMMYFUNCTION("""COMPUTED_VALUE"""),"製圖科")</f>
        <v>製圖科</v>
      </c>
      <c r="F357" s="9" t="str">
        <f>IFERROR(__xludf.DUMMYFUNCTION("""COMPUTED_VALUE"""),"三年級")</f>
        <v>三年級</v>
      </c>
      <c r="G357" s="9" t="str">
        <f>IFERROR(__xludf.DUMMYFUNCTION("""COMPUTED_VALUE"""),"獎狀")</f>
        <v>獎狀</v>
      </c>
      <c r="H357" s="9"/>
    </row>
    <row r="358">
      <c r="A358" s="13" t="s">
        <v>11</v>
      </c>
      <c r="B358" s="9" t="str">
        <f>IFERROR(__xludf.DUMMYFUNCTION("""COMPUTED_VALUE"""),"魏O峰")</f>
        <v>魏O峰</v>
      </c>
      <c r="C358" s="9" t="str">
        <f>IFERROR(__xludf.DUMMYFUNCTION("""COMPUTED_VALUE"""),"971*****son@gmail.com")</f>
        <v>971*****son@gmail.com</v>
      </c>
      <c r="D358" s="9" t="str">
        <f>IFERROR(__xludf.DUMMYFUNCTION("""COMPUTED_VALUE"""),"新北市立三重高級商工職業學校")</f>
        <v>新北市立三重高級商工職業學校</v>
      </c>
      <c r="E358" s="9" t="str">
        <f>IFERROR(__xludf.DUMMYFUNCTION("""COMPUTED_VALUE"""),"模具科")</f>
        <v>模具科</v>
      </c>
      <c r="F358" s="9" t="str">
        <f>IFERROR(__xludf.DUMMYFUNCTION("""COMPUTED_VALUE"""),"二年級")</f>
        <v>二年級</v>
      </c>
      <c r="G358" s="9" t="str">
        <f>IFERROR(__xludf.DUMMYFUNCTION("""COMPUTED_VALUE"""),"獎狀")</f>
        <v>獎狀</v>
      </c>
      <c r="H358" s="9"/>
    </row>
    <row r="359">
      <c r="A359" s="13" t="s">
        <v>11</v>
      </c>
      <c r="B359" s="9" t="str">
        <f>IFERROR(__xludf.DUMMYFUNCTION("""COMPUTED_VALUE"""),"巫O毅")</f>
        <v>巫O毅</v>
      </c>
      <c r="C359" s="9" t="str">
        <f>IFERROR(__xludf.DUMMYFUNCTION("""COMPUTED_VALUE"""),"s31*****g.scvs.ntpc.edu.tw")</f>
        <v>s31*****g.scvs.ntpc.edu.tw</v>
      </c>
      <c r="D359" s="9" t="str">
        <f>IFERROR(__xludf.DUMMYFUNCTION("""COMPUTED_VALUE"""),"新北市立三重高級商工職業學校")</f>
        <v>新北市立三重高級商工職業學校</v>
      </c>
      <c r="E359" s="9" t="str">
        <f>IFERROR(__xludf.DUMMYFUNCTION("""COMPUTED_VALUE"""),"模具科")</f>
        <v>模具科</v>
      </c>
      <c r="F359" s="9" t="str">
        <f>IFERROR(__xludf.DUMMYFUNCTION("""COMPUTED_VALUE"""),"二年級")</f>
        <v>二年級</v>
      </c>
      <c r="G359" s="9" t="str">
        <f>IFERROR(__xludf.DUMMYFUNCTION("""COMPUTED_VALUE"""),"■商品卡$200")</f>
        <v>■商品卡$200</v>
      </c>
      <c r="H359" s="9"/>
    </row>
    <row r="360">
      <c r="A360" s="13" t="s">
        <v>11</v>
      </c>
      <c r="B360" s="9" t="str">
        <f>IFERROR(__xludf.DUMMYFUNCTION("""COMPUTED_VALUE"""),"莊O甫")</f>
        <v>莊O甫</v>
      </c>
      <c r="C360" s="9" t="str">
        <f>IFERROR(__xludf.DUMMYFUNCTION("""COMPUTED_VALUE"""),"a09*****722@gmail.com")</f>
        <v>a09*****722@gmail.com</v>
      </c>
      <c r="D360" s="9" t="str">
        <f>IFERROR(__xludf.DUMMYFUNCTION("""COMPUTED_VALUE"""),"新北市立三重高級商工職業學校")</f>
        <v>新北市立三重高級商工職業學校</v>
      </c>
      <c r="E360" s="9" t="str">
        <f>IFERROR(__xludf.DUMMYFUNCTION("""COMPUTED_VALUE"""),"機械科")</f>
        <v>機械科</v>
      </c>
      <c r="F360" s="9" t="str">
        <f>IFERROR(__xludf.DUMMYFUNCTION("""COMPUTED_VALUE"""),"二年級")</f>
        <v>二年級</v>
      </c>
      <c r="G360" s="9" t="str">
        <f>IFERROR(__xludf.DUMMYFUNCTION("""COMPUTED_VALUE"""),"■商品卡$200")</f>
        <v>■商品卡$200</v>
      </c>
      <c r="H360" s="9"/>
    </row>
    <row r="361">
      <c r="A361" s="13" t="s">
        <v>11</v>
      </c>
      <c r="B361" s="9" t="str">
        <f>IFERROR(__xludf.DUMMYFUNCTION("""COMPUTED_VALUE"""),"楊O舜")</f>
        <v>楊O舜</v>
      </c>
      <c r="C361" s="9" t="str">
        <f>IFERROR(__xludf.DUMMYFUNCTION("""COMPUTED_VALUE"""),"ric*****09@gmail.com")</f>
        <v>ric*****09@gmail.com</v>
      </c>
      <c r="D361" s="9" t="str">
        <f>IFERROR(__xludf.DUMMYFUNCTION("""COMPUTED_VALUE"""),"新北市立三重高級商工職業學校")</f>
        <v>新北市立三重高級商工職業學校</v>
      </c>
      <c r="E361" s="9" t="str">
        <f>IFERROR(__xludf.DUMMYFUNCTION("""COMPUTED_VALUE"""),"機械科")</f>
        <v>機械科</v>
      </c>
      <c r="F361" s="9" t="str">
        <f>IFERROR(__xludf.DUMMYFUNCTION("""COMPUTED_VALUE"""),"二年級")</f>
        <v>二年級</v>
      </c>
      <c r="G361" s="9" t="str">
        <f>IFERROR(__xludf.DUMMYFUNCTION("""COMPUTED_VALUE"""),"■商品卡$200")</f>
        <v>■商品卡$200</v>
      </c>
      <c r="H361" s="9"/>
    </row>
    <row r="362">
      <c r="A362" s="13" t="s">
        <v>11</v>
      </c>
      <c r="B362" s="9" t="str">
        <f>IFERROR(__xludf.DUMMYFUNCTION("""COMPUTED_VALUE"""),"周O篪")</f>
        <v>周O篪</v>
      </c>
      <c r="C362" s="9" t="str">
        <f>IFERROR(__xludf.DUMMYFUNCTION("""COMPUTED_VALUE"""),"s31*****g.scvs.ntpc.edu.tw")</f>
        <v>s31*****g.scvs.ntpc.edu.tw</v>
      </c>
      <c r="D362" s="9" t="str">
        <f>IFERROR(__xludf.DUMMYFUNCTION("""COMPUTED_VALUE"""),"新北市立三重高級商工職業學校")</f>
        <v>新北市立三重高級商工職業學校</v>
      </c>
      <c r="E362" s="9" t="str">
        <f>IFERROR(__xludf.DUMMYFUNCTION("""COMPUTED_VALUE"""),"應英科")</f>
        <v>應英科</v>
      </c>
      <c r="F362" s="9" t="str">
        <f>IFERROR(__xludf.DUMMYFUNCTION("""COMPUTED_VALUE"""),"一年級")</f>
        <v>一年級</v>
      </c>
      <c r="G362" s="9" t="str">
        <f>IFERROR(__xludf.DUMMYFUNCTION("""COMPUTED_VALUE"""),"獎狀")</f>
        <v>獎狀</v>
      </c>
      <c r="H362" s="9"/>
    </row>
    <row r="363">
      <c r="A363" s="13" t="s">
        <v>11</v>
      </c>
      <c r="B363" s="9" t="str">
        <f>IFERROR(__xludf.DUMMYFUNCTION("""COMPUTED_VALUE"""),"江O菁")</f>
        <v>江O菁</v>
      </c>
      <c r="C363" s="9" t="str">
        <f>IFERROR(__xludf.DUMMYFUNCTION("""COMPUTED_VALUE"""),"s31*****g.scvs.ntpc.edu.tw")</f>
        <v>s31*****g.scvs.ntpc.edu.tw</v>
      </c>
      <c r="D363" s="9" t="str">
        <f>IFERROR(__xludf.DUMMYFUNCTION("""COMPUTED_VALUE"""),"新北市立三重高級商工職業學校")</f>
        <v>新北市立三重高級商工職業學校</v>
      </c>
      <c r="E363" s="9" t="str">
        <f>IFERROR(__xludf.DUMMYFUNCTION("""COMPUTED_VALUE"""),"應英科")</f>
        <v>應英科</v>
      </c>
      <c r="F363" s="9" t="str">
        <f>IFERROR(__xludf.DUMMYFUNCTION("""COMPUTED_VALUE"""),"二年級")</f>
        <v>二年級</v>
      </c>
      <c r="G363" s="9" t="str">
        <f>IFERROR(__xludf.DUMMYFUNCTION("""COMPUTED_VALUE"""),"獎狀")</f>
        <v>獎狀</v>
      </c>
      <c r="H363" s="9"/>
    </row>
    <row r="364">
      <c r="A364" s="13" t="s">
        <v>11</v>
      </c>
      <c r="B364" s="9" t="str">
        <f>IFERROR(__xludf.DUMMYFUNCTION("""COMPUTED_VALUE"""),"陳O菱")</f>
        <v>陳O菱</v>
      </c>
      <c r="C364" s="9" t="str">
        <f>IFERROR(__xludf.DUMMYFUNCTION("""COMPUTED_VALUE"""),"s31*****g.scvs.ntpc.edu.tw")</f>
        <v>s31*****g.scvs.ntpc.edu.tw</v>
      </c>
      <c r="D364" s="9" t="str">
        <f>IFERROR(__xludf.DUMMYFUNCTION("""COMPUTED_VALUE"""),"新北市立三重高級商工職業學校")</f>
        <v>新北市立三重高級商工職業學校</v>
      </c>
      <c r="E364" s="9" t="str">
        <f>IFERROR(__xludf.DUMMYFUNCTION("""COMPUTED_VALUE"""),"應英科")</f>
        <v>應英科</v>
      </c>
      <c r="F364" s="9" t="str">
        <f>IFERROR(__xludf.DUMMYFUNCTION("""COMPUTED_VALUE"""),"二年級")</f>
        <v>二年級</v>
      </c>
      <c r="G364" s="9" t="str">
        <f>IFERROR(__xludf.DUMMYFUNCTION("""COMPUTED_VALUE"""),"獎狀")</f>
        <v>獎狀</v>
      </c>
      <c r="H364" s="9"/>
    </row>
    <row r="365">
      <c r="A365" s="13" t="s">
        <v>11</v>
      </c>
      <c r="B365" s="9" t="str">
        <f>IFERROR(__xludf.DUMMYFUNCTION("""COMPUTED_VALUE"""),"袁O雋")</f>
        <v>袁O雋</v>
      </c>
      <c r="C365" s="9" t="str">
        <f>IFERROR(__xludf.DUMMYFUNCTION("""COMPUTED_VALUE"""),"wil*****019.ntpc@mail.edu.tw")</f>
        <v>wil*****019.ntpc@mail.edu.tw</v>
      </c>
      <c r="D365" s="9" t="str">
        <f>IFERROR(__xludf.DUMMYFUNCTION("""COMPUTED_VALUE"""),"新北市立三重高級商工職業學校")</f>
        <v>新北市立三重高級商工職業學校</v>
      </c>
      <c r="E365" s="9" t="str">
        <f>IFERROR(__xludf.DUMMYFUNCTION("""COMPUTED_VALUE"""),"應英科")</f>
        <v>應英科</v>
      </c>
      <c r="F365" s="9" t="str">
        <f>IFERROR(__xludf.DUMMYFUNCTION("""COMPUTED_VALUE"""),"二年級")</f>
        <v>二年級</v>
      </c>
      <c r="G365" s="9" t="str">
        <f>IFERROR(__xludf.DUMMYFUNCTION("""COMPUTED_VALUE"""),"獎狀")</f>
        <v>獎狀</v>
      </c>
      <c r="H365" s="9"/>
    </row>
    <row r="366">
      <c r="A366" s="13" t="s">
        <v>11</v>
      </c>
      <c r="B366" s="9" t="str">
        <f>IFERROR(__xludf.DUMMYFUNCTION("""COMPUTED_VALUE"""),"洪O綺")</f>
        <v>洪O綺</v>
      </c>
      <c r="C366" s="9" t="str">
        <f>IFERROR(__xludf.DUMMYFUNCTION("""COMPUTED_VALUE"""),"s31*****g.scvs.ntpc.edu.tw")</f>
        <v>s31*****g.scvs.ntpc.edu.tw</v>
      </c>
      <c r="D366" s="9" t="str">
        <f>IFERROR(__xludf.DUMMYFUNCTION("""COMPUTED_VALUE"""),"新北市立三重高級商工職業學校")</f>
        <v>新北市立三重高級商工職業學校</v>
      </c>
      <c r="E366" s="9" t="str">
        <f>IFERROR(__xludf.DUMMYFUNCTION("""COMPUTED_VALUE"""),"應英科")</f>
        <v>應英科</v>
      </c>
      <c r="F366" s="9" t="str">
        <f>IFERROR(__xludf.DUMMYFUNCTION("""COMPUTED_VALUE"""),"二年級")</f>
        <v>二年級</v>
      </c>
      <c r="G366" s="9" t="str">
        <f>IFERROR(__xludf.DUMMYFUNCTION("""COMPUTED_VALUE"""),"獎狀")</f>
        <v>獎狀</v>
      </c>
      <c r="H366" s="9"/>
    </row>
    <row r="367">
      <c r="A367" s="13" t="s">
        <v>11</v>
      </c>
      <c r="B367" s="9" t="str">
        <f>IFERROR(__xludf.DUMMYFUNCTION("""COMPUTED_VALUE"""),"林O傑")</f>
        <v>林O傑</v>
      </c>
      <c r="C367" s="9" t="str">
        <f>IFERROR(__xludf.DUMMYFUNCTION("""COMPUTED_VALUE"""),"s31*****g.scvs.ntpc.edu.tw")</f>
        <v>s31*****g.scvs.ntpc.edu.tw</v>
      </c>
      <c r="D367" s="9" t="str">
        <f>IFERROR(__xludf.DUMMYFUNCTION("""COMPUTED_VALUE"""),"新北市立三重高級商工職業學校")</f>
        <v>新北市立三重高級商工職業學校</v>
      </c>
      <c r="E367" s="9" t="str">
        <f>IFERROR(__xludf.DUMMYFUNCTION("""COMPUTED_VALUE"""),"應英科")</f>
        <v>應英科</v>
      </c>
      <c r="F367" s="9" t="str">
        <f>IFERROR(__xludf.DUMMYFUNCTION("""COMPUTED_VALUE"""),"二年級")</f>
        <v>二年級</v>
      </c>
      <c r="G367" s="9" t="str">
        <f>IFERROR(__xludf.DUMMYFUNCTION("""COMPUTED_VALUE"""),"■商品卡$200")</f>
        <v>■商品卡$200</v>
      </c>
      <c r="H367" s="9"/>
    </row>
    <row r="368">
      <c r="A368" s="13" t="s">
        <v>11</v>
      </c>
      <c r="B368" s="9" t="str">
        <f>IFERROR(__xludf.DUMMYFUNCTION("""COMPUTED_VALUE"""),"沈O馨")</f>
        <v>沈O馨</v>
      </c>
      <c r="C368" s="9" t="str">
        <f>IFERROR(__xludf.DUMMYFUNCTION("""COMPUTED_VALUE"""),"s31*****g.scvs.ntpc.edu.tw")</f>
        <v>s31*****g.scvs.ntpc.edu.tw</v>
      </c>
      <c r="D368" s="9" t="str">
        <f>IFERROR(__xludf.DUMMYFUNCTION("""COMPUTED_VALUE"""),"新北市立三重高級商工職業學校")</f>
        <v>新北市立三重高級商工職業學校</v>
      </c>
      <c r="E368" s="9" t="str">
        <f>IFERROR(__xludf.DUMMYFUNCTION("""COMPUTED_VALUE"""),"應英科")</f>
        <v>應英科</v>
      </c>
      <c r="F368" s="9" t="str">
        <f>IFERROR(__xludf.DUMMYFUNCTION("""COMPUTED_VALUE"""),"二年級")</f>
        <v>二年級</v>
      </c>
      <c r="G368" s="9" t="str">
        <f>IFERROR(__xludf.DUMMYFUNCTION("""COMPUTED_VALUE"""),"獎狀")</f>
        <v>獎狀</v>
      </c>
      <c r="H368" s="9"/>
    </row>
    <row r="369">
      <c r="A369" s="13" t="s">
        <v>11</v>
      </c>
      <c r="B369" s="9" t="str">
        <f>IFERROR(__xludf.DUMMYFUNCTION("""COMPUTED_VALUE"""),"蘇O恩")</f>
        <v>蘇O恩</v>
      </c>
      <c r="C369" s="9" t="str">
        <f>IFERROR(__xludf.DUMMYFUNCTION("""COMPUTED_VALUE"""),"s31*****g.scvs.ntpc.edu.tw")</f>
        <v>s31*****g.scvs.ntpc.edu.tw</v>
      </c>
      <c r="D369" s="9" t="str">
        <f>IFERROR(__xludf.DUMMYFUNCTION("""COMPUTED_VALUE"""),"新北市立三重高級商工職業學校")</f>
        <v>新北市立三重高級商工職業學校</v>
      </c>
      <c r="E369" s="9" t="str">
        <f>IFERROR(__xludf.DUMMYFUNCTION("""COMPUTED_VALUE"""),"應英科")</f>
        <v>應英科</v>
      </c>
      <c r="F369" s="9" t="str">
        <f>IFERROR(__xludf.DUMMYFUNCTION("""COMPUTED_VALUE"""),"二年級")</f>
        <v>二年級</v>
      </c>
      <c r="G369" s="9" t="str">
        <f>IFERROR(__xludf.DUMMYFUNCTION("""COMPUTED_VALUE"""),"獎狀")</f>
        <v>獎狀</v>
      </c>
      <c r="H369" s="9"/>
    </row>
    <row r="370">
      <c r="A370" s="13" t="s">
        <v>11</v>
      </c>
      <c r="B370" s="9" t="str">
        <f>IFERROR(__xludf.DUMMYFUNCTION("""COMPUTED_VALUE"""),"吳O呈")</f>
        <v>吳O呈</v>
      </c>
      <c r="C370" s="9" t="str">
        <f>IFERROR(__xludf.DUMMYFUNCTION("""COMPUTED_VALUE"""),"s31*****g.scvs.ntpc.edu.tw")</f>
        <v>s31*****g.scvs.ntpc.edu.tw</v>
      </c>
      <c r="D370" s="9" t="str">
        <f>IFERROR(__xludf.DUMMYFUNCTION("""COMPUTED_VALUE"""),"新北市立三重高級商工職業學校")</f>
        <v>新北市立三重高級商工職業學校</v>
      </c>
      <c r="E370" s="9" t="str">
        <f>IFERROR(__xludf.DUMMYFUNCTION("""COMPUTED_VALUE"""),"應英科")</f>
        <v>應英科</v>
      </c>
      <c r="F370" s="9" t="str">
        <f>IFERROR(__xludf.DUMMYFUNCTION("""COMPUTED_VALUE"""),"二年級")</f>
        <v>二年級</v>
      </c>
      <c r="G370" s="9" t="str">
        <f>IFERROR(__xludf.DUMMYFUNCTION("""COMPUTED_VALUE"""),"獎狀")</f>
        <v>獎狀</v>
      </c>
      <c r="H370" s="9"/>
    </row>
    <row r="371">
      <c r="A371" s="13" t="s">
        <v>11</v>
      </c>
      <c r="B371" s="9" t="str">
        <f>IFERROR(__xludf.DUMMYFUNCTION("""COMPUTED_VALUE"""),"葉O萱")</f>
        <v>葉O萱</v>
      </c>
      <c r="C371" s="9" t="str">
        <f>IFERROR(__xludf.DUMMYFUNCTION("""COMPUTED_VALUE"""),"s31*****g.scvs.ntpc.edu.tw")</f>
        <v>s31*****g.scvs.ntpc.edu.tw</v>
      </c>
      <c r="D371" s="9" t="str">
        <f>IFERROR(__xludf.DUMMYFUNCTION("""COMPUTED_VALUE"""),"新北市立三重高級商工職業學校")</f>
        <v>新北市立三重高級商工職業學校</v>
      </c>
      <c r="E371" s="9" t="str">
        <f>IFERROR(__xludf.DUMMYFUNCTION("""COMPUTED_VALUE"""),"應英科")</f>
        <v>應英科</v>
      </c>
      <c r="F371" s="9" t="str">
        <f>IFERROR(__xludf.DUMMYFUNCTION("""COMPUTED_VALUE"""),"二年級")</f>
        <v>二年級</v>
      </c>
      <c r="G371" s="9" t="str">
        <f>IFERROR(__xludf.DUMMYFUNCTION("""COMPUTED_VALUE"""),"獎狀")</f>
        <v>獎狀</v>
      </c>
      <c r="H371" s="9"/>
    </row>
    <row r="372">
      <c r="A372" s="13" t="s">
        <v>11</v>
      </c>
      <c r="B372" s="9" t="str">
        <f>IFERROR(__xludf.DUMMYFUNCTION("""COMPUTED_VALUE"""),"陳O伃")</f>
        <v>陳O伃</v>
      </c>
      <c r="C372" s="9" t="str">
        <f>IFERROR(__xludf.DUMMYFUNCTION("""COMPUTED_VALUE"""),"s31*****g.scvs.ntpc.edu.tw")</f>
        <v>s31*****g.scvs.ntpc.edu.tw</v>
      </c>
      <c r="D372" s="9" t="str">
        <f>IFERROR(__xludf.DUMMYFUNCTION("""COMPUTED_VALUE"""),"新北市立三重高級商工職業學校")</f>
        <v>新北市立三重高級商工職業學校</v>
      </c>
      <c r="E372" s="9" t="str">
        <f>IFERROR(__xludf.DUMMYFUNCTION("""COMPUTED_VALUE"""),"應英科")</f>
        <v>應英科</v>
      </c>
      <c r="F372" s="9" t="str">
        <f>IFERROR(__xludf.DUMMYFUNCTION("""COMPUTED_VALUE"""),"二年級")</f>
        <v>二年級</v>
      </c>
      <c r="G372" s="9" t="str">
        <f>IFERROR(__xludf.DUMMYFUNCTION("""COMPUTED_VALUE"""),"獎狀")</f>
        <v>獎狀</v>
      </c>
      <c r="H372" s="9"/>
    </row>
    <row r="373">
      <c r="A373" s="13" t="s">
        <v>11</v>
      </c>
      <c r="B373" s="9" t="str">
        <f>IFERROR(__xludf.DUMMYFUNCTION("""COMPUTED_VALUE"""),"魏O安")</f>
        <v>魏O安</v>
      </c>
      <c r="C373" s="9" t="str">
        <f>IFERROR(__xludf.DUMMYFUNCTION("""COMPUTED_VALUE"""),"s31*****g.scvs.ntpc.edu.tw")</f>
        <v>s31*****g.scvs.ntpc.edu.tw</v>
      </c>
      <c r="D373" s="9" t="str">
        <f>IFERROR(__xludf.DUMMYFUNCTION("""COMPUTED_VALUE"""),"新北市立三重高級商工職業學校")</f>
        <v>新北市立三重高級商工職業學校</v>
      </c>
      <c r="E373" s="9" t="str">
        <f>IFERROR(__xludf.DUMMYFUNCTION("""COMPUTED_VALUE"""),"應英科")</f>
        <v>應英科</v>
      </c>
      <c r="F373" s="9" t="str">
        <f>IFERROR(__xludf.DUMMYFUNCTION("""COMPUTED_VALUE"""),"二年級")</f>
        <v>二年級</v>
      </c>
      <c r="G373" s="9" t="str">
        <f>IFERROR(__xludf.DUMMYFUNCTION("""COMPUTED_VALUE"""),"獎狀")</f>
        <v>獎狀</v>
      </c>
      <c r="H373" s="9"/>
    </row>
    <row r="374">
      <c r="A374" s="13" t="s">
        <v>11</v>
      </c>
      <c r="B374" s="9" t="str">
        <f>IFERROR(__xludf.DUMMYFUNCTION("""COMPUTED_VALUE"""),"林O庭")</f>
        <v>林O庭</v>
      </c>
      <c r="C374" s="9" t="str">
        <f>IFERROR(__xludf.DUMMYFUNCTION("""COMPUTED_VALUE"""),"s31*****g.scvs.ntpc.edu.tw")</f>
        <v>s31*****g.scvs.ntpc.edu.tw</v>
      </c>
      <c r="D374" s="9" t="str">
        <f>IFERROR(__xludf.DUMMYFUNCTION("""COMPUTED_VALUE"""),"新北市立三重高級商工職業學校")</f>
        <v>新北市立三重高級商工職業學校</v>
      </c>
      <c r="E374" s="9" t="str">
        <f>IFERROR(__xludf.DUMMYFUNCTION("""COMPUTED_VALUE"""),"應英科")</f>
        <v>應英科</v>
      </c>
      <c r="F374" s="9" t="str">
        <f>IFERROR(__xludf.DUMMYFUNCTION("""COMPUTED_VALUE"""),"二年級")</f>
        <v>二年級</v>
      </c>
      <c r="G374" s="9" t="str">
        <f>IFERROR(__xludf.DUMMYFUNCTION("""COMPUTED_VALUE"""),"■商品卡$200")</f>
        <v>■商品卡$200</v>
      </c>
      <c r="H374" s="9"/>
    </row>
    <row r="375">
      <c r="A375" s="13" t="s">
        <v>11</v>
      </c>
      <c r="B375" s="9" t="str">
        <f>IFERROR(__xludf.DUMMYFUNCTION("""COMPUTED_VALUE"""),"蔡O璇")</f>
        <v>蔡O璇</v>
      </c>
      <c r="C375" s="9" t="str">
        <f>IFERROR(__xludf.DUMMYFUNCTION("""COMPUTED_VALUE"""),"s31*****g.scvs.ntpc.edu.tw")</f>
        <v>s31*****g.scvs.ntpc.edu.tw</v>
      </c>
      <c r="D375" s="9" t="str">
        <f>IFERROR(__xludf.DUMMYFUNCTION("""COMPUTED_VALUE"""),"新北市立三重高級商工職業學校")</f>
        <v>新北市立三重高級商工職業學校</v>
      </c>
      <c r="E375" s="9" t="str">
        <f>IFERROR(__xludf.DUMMYFUNCTION("""COMPUTED_VALUE"""),"應英科")</f>
        <v>應英科</v>
      </c>
      <c r="F375" s="9" t="str">
        <f>IFERROR(__xludf.DUMMYFUNCTION("""COMPUTED_VALUE"""),"二年級")</f>
        <v>二年級</v>
      </c>
      <c r="G375" s="9" t="str">
        <f>IFERROR(__xludf.DUMMYFUNCTION("""COMPUTED_VALUE"""),"獎狀")</f>
        <v>獎狀</v>
      </c>
      <c r="H375" s="9"/>
    </row>
    <row r="376">
      <c r="A376" s="13" t="s">
        <v>11</v>
      </c>
      <c r="B376" s="9" t="str">
        <f>IFERROR(__xludf.DUMMYFUNCTION("""COMPUTED_VALUE"""),"周O媞")</f>
        <v>周O媞</v>
      </c>
      <c r="C376" s="9" t="str">
        <f>IFERROR(__xludf.DUMMYFUNCTION("""COMPUTED_VALUE"""),"s31*****g.scvs.ntpc.edu.tw")</f>
        <v>s31*****g.scvs.ntpc.edu.tw</v>
      </c>
      <c r="D376" s="9" t="str">
        <f>IFERROR(__xludf.DUMMYFUNCTION("""COMPUTED_VALUE"""),"新北市立三重高級商工職業學校")</f>
        <v>新北市立三重高級商工職業學校</v>
      </c>
      <c r="E376" s="9" t="str">
        <f>IFERROR(__xludf.DUMMYFUNCTION("""COMPUTED_VALUE"""),"應英科")</f>
        <v>應英科</v>
      </c>
      <c r="F376" s="9" t="str">
        <f>IFERROR(__xludf.DUMMYFUNCTION("""COMPUTED_VALUE"""),"二年級")</f>
        <v>二年級</v>
      </c>
      <c r="G376" s="9" t="str">
        <f>IFERROR(__xludf.DUMMYFUNCTION("""COMPUTED_VALUE"""),"獎狀")</f>
        <v>獎狀</v>
      </c>
      <c r="H376" s="9"/>
    </row>
    <row r="377">
      <c r="A377" s="13" t="s">
        <v>11</v>
      </c>
      <c r="B377" s="9" t="str">
        <f>IFERROR(__xludf.DUMMYFUNCTION("""COMPUTED_VALUE"""),"李O軒")</f>
        <v>李O軒</v>
      </c>
      <c r="C377" s="9" t="str">
        <f>IFERROR(__xludf.DUMMYFUNCTION("""COMPUTED_VALUE"""),"s21*****g.scvs.ntpc.edu.tw")</f>
        <v>s21*****g.scvs.ntpc.edu.tw</v>
      </c>
      <c r="D377" s="9" t="str">
        <f>IFERROR(__xludf.DUMMYFUNCTION("""COMPUTED_VALUE"""),"新北市立三重高級商工職業學校")</f>
        <v>新北市立三重高級商工職業學校</v>
      </c>
      <c r="E377" s="9" t="str">
        <f>IFERROR(__xludf.DUMMYFUNCTION("""COMPUTED_VALUE"""),"應英科")</f>
        <v>應英科</v>
      </c>
      <c r="F377" s="9" t="str">
        <f>IFERROR(__xludf.DUMMYFUNCTION("""COMPUTED_VALUE"""),"三年級")</f>
        <v>三年級</v>
      </c>
      <c r="G377" s="9" t="str">
        <f>IFERROR(__xludf.DUMMYFUNCTION("""COMPUTED_VALUE"""),"■商品卡$200")</f>
        <v>■商品卡$200</v>
      </c>
      <c r="H377" s="9"/>
    </row>
    <row r="378">
      <c r="A378" s="13" t="s">
        <v>11</v>
      </c>
      <c r="B378" s="9" t="str">
        <f>IFERROR(__xludf.DUMMYFUNCTION("""COMPUTED_VALUE"""),"丁O涵")</f>
        <v>丁O涵</v>
      </c>
      <c r="C378" s="9" t="str">
        <f>IFERROR(__xludf.DUMMYFUNCTION("""COMPUTED_VALUE"""),"s21*****g.scvs.ntpc.edu.tw")</f>
        <v>s21*****g.scvs.ntpc.edu.tw</v>
      </c>
      <c r="D378" s="9" t="str">
        <f>IFERROR(__xludf.DUMMYFUNCTION("""COMPUTED_VALUE"""),"新北市立三重高級商工職業學校")</f>
        <v>新北市立三重高級商工職業學校</v>
      </c>
      <c r="E378" s="9" t="str">
        <f>IFERROR(__xludf.DUMMYFUNCTION("""COMPUTED_VALUE"""),"應英科")</f>
        <v>應英科</v>
      </c>
      <c r="F378" s="9" t="str">
        <f>IFERROR(__xludf.DUMMYFUNCTION("""COMPUTED_VALUE"""),"三年級")</f>
        <v>三年級</v>
      </c>
      <c r="G378" s="9" t="str">
        <f>IFERROR(__xludf.DUMMYFUNCTION("""COMPUTED_VALUE"""),"獎狀")</f>
        <v>獎狀</v>
      </c>
      <c r="H378" s="9"/>
    </row>
    <row r="379">
      <c r="A379" s="13" t="s">
        <v>11</v>
      </c>
      <c r="B379" s="9" t="str">
        <f>IFERROR(__xludf.DUMMYFUNCTION("""COMPUTED_VALUE"""),"吳O婕")</f>
        <v>吳O婕</v>
      </c>
      <c r="C379" s="9" t="str">
        <f>IFERROR(__xludf.DUMMYFUNCTION("""COMPUTED_VALUE"""),"s21*****g.scvs.ntpc.edu.tw")</f>
        <v>s21*****g.scvs.ntpc.edu.tw</v>
      </c>
      <c r="D379" s="9" t="str">
        <f>IFERROR(__xludf.DUMMYFUNCTION("""COMPUTED_VALUE"""),"新北市立三重高級商工職業學校")</f>
        <v>新北市立三重高級商工職業學校</v>
      </c>
      <c r="E379" s="9" t="str">
        <f>IFERROR(__xludf.DUMMYFUNCTION("""COMPUTED_VALUE"""),"應英科")</f>
        <v>應英科</v>
      </c>
      <c r="F379" s="9" t="str">
        <f>IFERROR(__xludf.DUMMYFUNCTION("""COMPUTED_VALUE"""),"三年級")</f>
        <v>三年級</v>
      </c>
      <c r="G379" s="9" t="str">
        <f>IFERROR(__xludf.DUMMYFUNCTION("""COMPUTED_VALUE"""),"獎狀")</f>
        <v>獎狀</v>
      </c>
      <c r="H379" s="9"/>
    </row>
    <row r="380">
      <c r="A380" s="13" t="s">
        <v>11</v>
      </c>
      <c r="B380" s="9" t="str">
        <f>IFERROR(__xludf.DUMMYFUNCTION("""COMPUTED_VALUE"""),"張O希")</f>
        <v>張O希</v>
      </c>
      <c r="C380" s="9" t="str">
        <f>IFERROR(__xludf.DUMMYFUNCTION("""COMPUTED_VALUE"""),"113*****@savs.ilc.edu.tw")</f>
        <v>113*****@savs.ilc.edu.tw</v>
      </c>
      <c r="D380" s="9" t="str">
        <f>IFERROR(__xludf.DUMMYFUNCTION("""COMPUTED_VALUE"""),"國立蘇澳高級海事水產職業學校")</f>
        <v>國立蘇澳高級海事水產職業學校</v>
      </c>
      <c r="E380" s="9" t="str">
        <f>IFERROR(__xludf.DUMMYFUNCTION("""COMPUTED_VALUE"""),"輪機科")</f>
        <v>輪機科</v>
      </c>
      <c r="F380" s="9" t="str">
        <f>IFERROR(__xludf.DUMMYFUNCTION("""COMPUTED_VALUE"""),"一年級")</f>
        <v>一年級</v>
      </c>
      <c r="G380" s="9" t="str">
        <f>IFERROR(__xludf.DUMMYFUNCTION("""COMPUTED_VALUE"""),"獎狀")</f>
        <v>獎狀</v>
      </c>
      <c r="H380" s="9"/>
    </row>
    <row r="381">
      <c r="A381" s="13" t="s">
        <v>11</v>
      </c>
      <c r="B381" s="9" t="str">
        <f>IFERROR(__xludf.DUMMYFUNCTION("""COMPUTED_VALUE"""),"馬O軒")</f>
        <v>馬O軒</v>
      </c>
      <c r="C381" s="9" t="str">
        <f>IFERROR(__xludf.DUMMYFUNCTION("""COMPUTED_VALUE"""),"amy*****128@gmail.com")</f>
        <v>amy*****128@gmail.com</v>
      </c>
      <c r="D381" s="9" t="str">
        <f>IFERROR(__xludf.DUMMYFUNCTION("""COMPUTED_VALUE"""),"新竹市私立磐石高級中學")</f>
        <v>新竹市私立磐石高級中學</v>
      </c>
      <c r="E381" s="9" t="str">
        <f>IFERROR(__xludf.DUMMYFUNCTION("""COMPUTED_VALUE"""),"資處科")</f>
        <v>資處科</v>
      </c>
      <c r="F381" s="9" t="str">
        <f>IFERROR(__xludf.DUMMYFUNCTION("""COMPUTED_VALUE"""),"三年級")</f>
        <v>三年級</v>
      </c>
      <c r="G381" s="9" t="str">
        <f>IFERROR(__xludf.DUMMYFUNCTION("""COMPUTED_VALUE"""),"獎狀")</f>
        <v>獎狀</v>
      </c>
      <c r="H381" s="9"/>
    </row>
    <row r="382">
      <c r="A382" s="13" t="s">
        <v>11</v>
      </c>
      <c r="B382" s="9" t="str">
        <f>IFERROR(__xludf.DUMMYFUNCTION("""COMPUTED_VALUE"""),"張O喬")</f>
        <v>張O喬</v>
      </c>
      <c r="C382" s="9" t="str">
        <f>IFERROR(__xludf.DUMMYFUNCTION("""COMPUTED_VALUE"""),"kf2*****@kfsh.hc.edu.tw")</f>
        <v>kf2*****@kfsh.hc.edu.tw</v>
      </c>
      <c r="D382" s="9" t="str">
        <f>IFERROR(__xludf.DUMMYFUNCTION("""COMPUTED_VALUE"""),"新竹市私立光復高級中學")</f>
        <v>新竹市私立光復高級中學</v>
      </c>
      <c r="E382" s="9" t="str">
        <f>IFERROR(__xludf.DUMMYFUNCTION("""COMPUTED_VALUE"""),"時尚造型科")</f>
        <v>時尚造型科</v>
      </c>
      <c r="F382" s="9" t="str">
        <f>IFERROR(__xludf.DUMMYFUNCTION("""COMPUTED_VALUE"""),"三年級")</f>
        <v>三年級</v>
      </c>
      <c r="G382" s="9" t="str">
        <f>IFERROR(__xludf.DUMMYFUNCTION("""COMPUTED_VALUE"""),"獎狀")</f>
        <v>獎狀</v>
      </c>
      <c r="H382" s="9"/>
    </row>
    <row r="383">
      <c r="A383" s="13" t="s">
        <v>11</v>
      </c>
      <c r="B383" s="9" t="str">
        <f>IFERROR(__xludf.DUMMYFUNCTION("""COMPUTED_VALUE"""),"陳O佑")</f>
        <v>陳O佑</v>
      </c>
      <c r="C383" s="9" t="str">
        <f>IFERROR(__xludf.DUMMYFUNCTION("""COMPUTED_VALUE"""),"kf2*****@kfsh.hc.edu.tw")</f>
        <v>kf2*****@kfsh.hc.edu.tw</v>
      </c>
      <c r="D383" s="9" t="str">
        <f>IFERROR(__xludf.DUMMYFUNCTION("""COMPUTED_VALUE"""),"新竹市私立光復高級中學")</f>
        <v>新竹市私立光復高級中學</v>
      </c>
      <c r="E383" s="9" t="str">
        <f>IFERROR(__xludf.DUMMYFUNCTION("""COMPUTED_VALUE"""),"時尚造型科")</f>
        <v>時尚造型科</v>
      </c>
      <c r="F383" s="9" t="str">
        <f>IFERROR(__xludf.DUMMYFUNCTION("""COMPUTED_VALUE"""),"三年級")</f>
        <v>三年級</v>
      </c>
      <c r="G383" s="9" t="str">
        <f>IFERROR(__xludf.DUMMYFUNCTION("""COMPUTED_VALUE"""),"獎狀")</f>
        <v>獎狀</v>
      </c>
      <c r="H383" s="9"/>
    </row>
    <row r="384">
      <c r="A384" s="13" t="s">
        <v>11</v>
      </c>
      <c r="B384" s="9" t="str">
        <f>IFERROR(__xludf.DUMMYFUNCTION("""COMPUTED_VALUE"""),"羅O真")</f>
        <v>羅O真</v>
      </c>
      <c r="C384" s="9" t="str">
        <f>IFERROR(__xludf.DUMMYFUNCTION("""COMPUTED_VALUE"""),"kf2*****@kfsh.hc.edu.tw")</f>
        <v>kf2*****@kfsh.hc.edu.tw</v>
      </c>
      <c r="D384" s="9" t="str">
        <f>IFERROR(__xludf.DUMMYFUNCTION("""COMPUTED_VALUE"""),"新竹市私立光復高級中學")</f>
        <v>新竹市私立光復高級中學</v>
      </c>
      <c r="E384" s="9" t="str">
        <f>IFERROR(__xludf.DUMMYFUNCTION("""COMPUTED_VALUE"""),"時尚造型科")</f>
        <v>時尚造型科</v>
      </c>
      <c r="F384" s="9" t="str">
        <f>IFERROR(__xludf.DUMMYFUNCTION("""COMPUTED_VALUE"""),"三年級")</f>
        <v>三年級</v>
      </c>
      <c r="G384" s="9" t="str">
        <f>IFERROR(__xludf.DUMMYFUNCTION("""COMPUTED_VALUE"""),"○商品卡$500")</f>
        <v>○商品卡$500</v>
      </c>
      <c r="H384" s="9"/>
    </row>
    <row r="385">
      <c r="A385" s="13" t="s">
        <v>11</v>
      </c>
      <c r="B385" s="9" t="str">
        <f>IFERROR(__xludf.DUMMYFUNCTION("""COMPUTED_VALUE"""),"何O真")</f>
        <v>何O真</v>
      </c>
      <c r="C385" s="9" t="str">
        <f>IFERROR(__xludf.DUMMYFUNCTION("""COMPUTED_VALUE"""),"Kf2*****@kfsh.hc.edu.tw")</f>
        <v>Kf2*****@kfsh.hc.edu.tw</v>
      </c>
      <c r="D385" s="9" t="str">
        <f>IFERROR(__xludf.DUMMYFUNCTION("""COMPUTED_VALUE"""),"新竹市私立光復高級中學")</f>
        <v>新竹市私立光復高級中學</v>
      </c>
      <c r="E385" s="9" t="str">
        <f>IFERROR(__xludf.DUMMYFUNCTION("""COMPUTED_VALUE"""),"時尚造型科")</f>
        <v>時尚造型科</v>
      </c>
      <c r="F385" s="9" t="str">
        <f>IFERROR(__xludf.DUMMYFUNCTION("""COMPUTED_VALUE"""),"三年級")</f>
        <v>三年級</v>
      </c>
      <c r="G385" s="9" t="str">
        <f>IFERROR(__xludf.DUMMYFUNCTION("""COMPUTED_VALUE"""),"獎狀")</f>
        <v>獎狀</v>
      </c>
      <c r="H385" s="9"/>
    </row>
    <row r="386">
      <c r="A386" s="13" t="s">
        <v>11</v>
      </c>
      <c r="B386" s="9" t="str">
        <f>IFERROR(__xludf.DUMMYFUNCTION("""COMPUTED_VALUE"""),"賴O潔")</f>
        <v>賴O潔</v>
      </c>
      <c r="C386" s="9" t="str">
        <f>IFERROR(__xludf.DUMMYFUNCTION("""COMPUTED_VALUE"""),"kf2*****@kfsh.hc.edu.tw")</f>
        <v>kf2*****@kfsh.hc.edu.tw</v>
      </c>
      <c r="D386" s="9" t="str">
        <f>IFERROR(__xludf.DUMMYFUNCTION("""COMPUTED_VALUE"""),"新竹市私立光復高級中學")</f>
        <v>新竹市私立光復高級中學</v>
      </c>
      <c r="E386" s="9" t="str">
        <f>IFERROR(__xludf.DUMMYFUNCTION("""COMPUTED_VALUE"""),"時尚造型科")</f>
        <v>時尚造型科</v>
      </c>
      <c r="F386" s="9" t="str">
        <f>IFERROR(__xludf.DUMMYFUNCTION("""COMPUTED_VALUE"""),"三年級")</f>
        <v>三年級</v>
      </c>
      <c r="G386" s="9" t="str">
        <f>IFERROR(__xludf.DUMMYFUNCTION("""COMPUTED_VALUE"""),"獎狀")</f>
        <v>獎狀</v>
      </c>
      <c r="H386" s="9"/>
    </row>
    <row r="387">
      <c r="A387" s="13" t="s">
        <v>11</v>
      </c>
      <c r="B387" s="9" t="str">
        <f>IFERROR(__xludf.DUMMYFUNCTION("""COMPUTED_VALUE"""),"林O妏")</f>
        <v>林O妏</v>
      </c>
      <c r="C387" s="9" t="str">
        <f>IFERROR(__xludf.DUMMYFUNCTION("""COMPUTED_VALUE"""),"kf2*****@kfsh.hc.edu.tw")</f>
        <v>kf2*****@kfsh.hc.edu.tw</v>
      </c>
      <c r="D387" s="9" t="str">
        <f>IFERROR(__xludf.DUMMYFUNCTION("""COMPUTED_VALUE"""),"新竹市私立光復高級中學")</f>
        <v>新竹市私立光復高級中學</v>
      </c>
      <c r="E387" s="9" t="str">
        <f>IFERROR(__xludf.DUMMYFUNCTION("""COMPUTED_VALUE"""),"時尚造型科")</f>
        <v>時尚造型科</v>
      </c>
      <c r="F387" s="9" t="str">
        <f>IFERROR(__xludf.DUMMYFUNCTION("""COMPUTED_VALUE"""),"三年級")</f>
        <v>三年級</v>
      </c>
      <c r="G387" s="9" t="str">
        <f>IFERROR(__xludf.DUMMYFUNCTION("""COMPUTED_VALUE"""),"獎狀")</f>
        <v>獎狀</v>
      </c>
      <c r="H387" s="9"/>
    </row>
    <row r="388">
      <c r="A388" s="13" t="s">
        <v>11</v>
      </c>
      <c r="B388" s="9" t="str">
        <f>IFERROR(__xludf.DUMMYFUNCTION("""COMPUTED_VALUE"""),"姜O喬")</f>
        <v>姜O喬</v>
      </c>
      <c r="C388" s="9" t="str">
        <f>IFERROR(__xludf.DUMMYFUNCTION("""COMPUTED_VALUE"""),"kf2*****@kfsh.hc.edu.tw")</f>
        <v>kf2*****@kfsh.hc.edu.tw</v>
      </c>
      <c r="D388" s="9" t="str">
        <f>IFERROR(__xludf.DUMMYFUNCTION("""COMPUTED_VALUE"""),"新竹市私立光復高級中學")</f>
        <v>新竹市私立光復高級中學</v>
      </c>
      <c r="E388" s="9" t="str">
        <f>IFERROR(__xludf.DUMMYFUNCTION("""COMPUTED_VALUE"""),"時尚造型科")</f>
        <v>時尚造型科</v>
      </c>
      <c r="F388" s="9" t="str">
        <f>IFERROR(__xludf.DUMMYFUNCTION("""COMPUTED_VALUE"""),"三年級")</f>
        <v>三年級</v>
      </c>
      <c r="G388" s="9" t="str">
        <f>IFERROR(__xludf.DUMMYFUNCTION("""COMPUTED_VALUE"""),"獎狀")</f>
        <v>獎狀</v>
      </c>
      <c r="H388" s="9"/>
    </row>
    <row r="389">
      <c r="A389" s="13" t="s">
        <v>11</v>
      </c>
      <c r="B389" s="9" t="str">
        <f>IFERROR(__xludf.DUMMYFUNCTION("""COMPUTED_VALUE"""),"梁O庭")</f>
        <v>梁O庭</v>
      </c>
      <c r="C389" s="9" t="str">
        <f>IFERROR(__xludf.DUMMYFUNCTION("""COMPUTED_VALUE"""),"kf2*****@kfsh.hc.edu.tw")</f>
        <v>kf2*****@kfsh.hc.edu.tw</v>
      </c>
      <c r="D389" s="9" t="str">
        <f>IFERROR(__xludf.DUMMYFUNCTION("""COMPUTED_VALUE"""),"新竹市私立光復高級中學")</f>
        <v>新竹市私立光復高級中學</v>
      </c>
      <c r="E389" s="9" t="str">
        <f>IFERROR(__xludf.DUMMYFUNCTION("""COMPUTED_VALUE"""),"時尚造型科")</f>
        <v>時尚造型科</v>
      </c>
      <c r="F389" s="9" t="str">
        <f>IFERROR(__xludf.DUMMYFUNCTION("""COMPUTED_VALUE"""),"三年級")</f>
        <v>三年級</v>
      </c>
      <c r="G389" s="9" t="str">
        <f>IFERROR(__xludf.DUMMYFUNCTION("""COMPUTED_VALUE"""),"獎狀")</f>
        <v>獎狀</v>
      </c>
      <c r="H389" s="9"/>
    </row>
    <row r="390">
      <c r="A390" s="13" t="s">
        <v>11</v>
      </c>
      <c r="B390" s="9" t="str">
        <f>IFERROR(__xludf.DUMMYFUNCTION("""COMPUTED_VALUE"""),"楊O雅")</f>
        <v>楊O雅</v>
      </c>
      <c r="C390" s="9" t="str">
        <f>IFERROR(__xludf.DUMMYFUNCTION("""COMPUTED_VALUE"""),"kf2*****@kfsh.hc.edu.tw")</f>
        <v>kf2*****@kfsh.hc.edu.tw</v>
      </c>
      <c r="D390" s="9" t="str">
        <f>IFERROR(__xludf.DUMMYFUNCTION("""COMPUTED_VALUE"""),"新竹市私立光復高級中學")</f>
        <v>新竹市私立光復高級中學</v>
      </c>
      <c r="E390" s="9" t="str">
        <f>IFERROR(__xludf.DUMMYFUNCTION("""COMPUTED_VALUE"""),"時尚造型科")</f>
        <v>時尚造型科</v>
      </c>
      <c r="F390" s="9" t="str">
        <f>IFERROR(__xludf.DUMMYFUNCTION("""COMPUTED_VALUE"""),"三年級")</f>
        <v>三年級</v>
      </c>
      <c r="G390" s="9" t="str">
        <f>IFERROR(__xludf.DUMMYFUNCTION("""COMPUTED_VALUE"""),"獎狀")</f>
        <v>獎狀</v>
      </c>
      <c r="H390" s="9"/>
    </row>
    <row r="391">
      <c r="A391" s="13" t="s">
        <v>11</v>
      </c>
      <c r="B391" s="9" t="str">
        <f>IFERROR(__xludf.DUMMYFUNCTION("""COMPUTED_VALUE"""),"李O烜")</f>
        <v>李O烜</v>
      </c>
      <c r="C391" s="9" t="str">
        <f>IFERROR(__xludf.DUMMYFUNCTION("""COMPUTED_VALUE"""),"kf2*****@kfsh.hc.edu.tw")</f>
        <v>kf2*****@kfsh.hc.edu.tw</v>
      </c>
      <c r="D391" s="9" t="str">
        <f>IFERROR(__xludf.DUMMYFUNCTION("""COMPUTED_VALUE"""),"新竹市私立光復高級中學")</f>
        <v>新竹市私立光復高級中學</v>
      </c>
      <c r="E391" s="9" t="str">
        <f>IFERROR(__xludf.DUMMYFUNCTION("""COMPUTED_VALUE"""),"資料處理科")</f>
        <v>資料處理科</v>
      </c>
      <c r="F391" s="9" t="str">
        <f>IFERROR(__xludf.DUMMYFUNCTION("""COMPUTED_VALUE"""),"三年級")</f>
        <v>三年級</v>
      </c>
      <c r="G391" s="9" t="str">
        <f>IFERROR(__xludf.DUMMYFUNCTION("""COMPUTED_VALUE"""),"獎狀")</f>
        <v>獎狀</v>
      </c>
      <c r="H391" s="9"/>
    </row>
    <row r="392">
      <c r="A392" s="13" t="s">
        <v>11</v>
      </c>
      <c r="B392" s="9" t="str">
        <f>IFERROR(__xludf.DUMMYFUNCTION("""COMPUTED_VALUE"""),"陳O莉")</f>
        <v>陳O莉</v>
      </c>
      <c r="C392" s="9" t="str">
        <f>IFERROR(__xludf.DUMMYFUNCTION("""COMPUTED_VALUE"""),"ari*****104@gmail.com")</f>
        <v>ari*****104@gmail.com</v>
      </c>
      <c r="D392" s="9" t="str">
        <f>IFERROR(__xludf.DUMMYFUNCTION("""COMPUTED_VALUE"""),"新竹市私立光復高級中學")</f>
        <v>新竹市私立光復高級中學</v>
      </c>
      <c r="E392" s="9" t="str">
        <f>IFERROR(__xludf.DUMMYFUNCTION("""COMPUTED_VALUE"""),"資料處理科")</f>
        <v>資料處理科</v>
      </c>
      <c r="F392" s="9" t="str">
        <f>IFERROR(__xludf.DUMMYFUNCTION("""COMPUTED_VALUE"""),"三年級")</f>
        <v>三年級</v>
      </c>
      <c r="G392" s="9" t="str">
        <f>IFERROR(__xludf.DUMMYFUNCTION("""COMPUTED_VALUE"""),"獎狀")</f>
        <v>獎狀</v>
      </c>
      <c r="H392" s="9"/>
    </row>
    <row r="393">
      <c r="A393" s="13" t="s">
        <v>11</v>
      </c>
      <c r="B393" s="9" t="str">
        <f>IFERROR(__xludf.DUMMYFUNCTION("""COMPUTED_VALUE"""),"邱O睿")</f>
        <v>邱O睿</v>
      </c>
      <c r="C393" s="9" t="str">
        <f>IFERROR(__xludf.DUMMYFUNCTION("""COMPUTED_VALUE"""),"kf2*****@kfsh.hc.edu.tw")</f>
        <v>kf2*****@kfsh.hc.edu.tw</v>
      </c>
      <c r="D393" s="9" t="str">
        <f>IFERROR(__xludf.DUMMYFUNCTION("""COMPUTED_VALUE"""),"新竹市私立光復高級中學")</f>
        <v>新竹市私立光復高級中學</v>
      </c>
      <c r="E393" s="9" t="str">
        <f>IFERROR(__xludf.DUMMYFUNCTION("""COMPUTED_VALUE"""),"資料處理科")</f>
        <v>資料處理科</v>
      </c>
      <c r="F393" s="9" t="str">
        <f>IFERROR(__xludf.DUMMYFUNCTION("""COMPUTED_VALUE"""),"三年級")</f>
        <v>三年級</v>
      </c>
      <c r="G393" s="9" t="str">
        <f>IFERROR(__xludf.DUMMYFUNCTION("""COMPUTED_VALUE"""),"獎狀")</f>
        <v>獎狀</v>
      </c>
      <c r="H393" s="9"/>
    </row>
    <row r="394">
      <c r="A394" s="13" t="s">
        <v>11</v>
      </c>
      <c r="B394" s="9" t="str">
        <f>IFERROR(__xludf.DUMMYFUNCTION("""COMPUTED_VALUE"""),"黃O嘉")</f>
        <v>黃O嘉</v>
      </c>
      <c r="C394" s="9" t="str">
        <f>IFERROR(__xludf.DUMMYFUNCTION("""COMPUTED_VALUE"""),"kf2*****@kfsh.hc.edu.tw")</f>
        <v>kf2*****@kfsh.hc.edu.tw</v>
      </c>
      <c r="D394" s="9" t="str">
        <f>IFERROR(__xludf.DUMMYFUNCTION("""COMPUTED_VALUE"""),"新竹市私立光復高級中學")</f>
        <v>新竹市私立光復高級中學</v>
      </c>
      <c r="E394" s="9" t="str">
        <f>IFERROR(__xludf.DUMMYFUNCTION("""COMPUTED_VALUE"""),"資料處理科")</f>
        <v>資料處理科</v>
      </c>
      <c r="F394" s="9" t="str">
        <f>IFERROR(__xludf.DUMMYFUNCTION("""COMPUTED_VALUE"""),"三年級")</f>
        <v>三年級</v>
      </c>
      <c r="G394" s="9" t="str">
        <f>IFERROR(__xludf.DUMMYFUNCTION("""COMPUTED_VALUE"""),"獎狀")</f>
        <v>獎狀</v>
      </c>
      <c r="H394" s="9"/>
    </row>
    <row r="395">
      <c r="A395" s="13" t="s">
        <v>11</v>
      </c>
      <c r="B395" s="9" t="str">
        <f>IFERROR(__xludf.DUMMYFUNCTION("""COMPUTED_VALUE"""),"洪O鈞")</f>
        <v>洪O鈞</v>
      </c>
      <c r="C395" s="9" t="str">
        <f>IFERROR(__xludf.DUMMYFUNCTION("""COMPUTED_VALUE"""),"kf2*****@kfsh.hc.edu.tw")</f>
        <v>kf2*****@kfsh.hc.edu.tw</v>
      </c>
      <c r="D395" s="9" t="str">
        <f>IFERROR(__xludf.DUMMYFUNCTION("""COMPUTED_VALUE"""),"新竹市私立光復高級中學")</f>
        <v>新竹市私立光復高級中學</v>
      </c>
      <c r="E395" s="9" t="str">
        <f>IFERROR(__xludf.DUMMYFUNCTION("""COMPUTED_VALUE"""),"資料處理科")</f>
        <v>資料處理科</v>
      </c>
      <c r="F395" s="9" t="str">
        <f>IFERROR(__xludf.DUMMYFUNCTION("""COMPUTED_VALUE"""),"三年級")</f>
        <v>三年級</v>
      </c>
      <c r="G395" s="9" t="str">
        <f>IFERROR(__xludf.DUMMYFUNCTION("""COMPUTED_VALUE"""),"獎狀")</f>
        <v>獎狀</v>
      </c>
      <c r="H395" s="9"/>
    </row>
    <row r="396">
      <c r="A396" s="13" t="s">
        <v>11</v>
      </c>
      <c r="B396" s="9" t="str">
        <f>IFERROR(__xludf.DUMMYFUNCTION("""COMPUTED_VALUE"""),"林O寧")</f>
        <v>林O寧</v>
      </c>
      <c r="C396" s="9" t="str">
        <f>IFERROR(__xludf.DUMMYFUNCTION("""COMPUTED_VALUE"""),"kf2*****@kfsh.hc.edu.tw")</f>
        <v>kf2*****@kfsh.hc.edu.tw</v>
      </c>
      <c r="D396" s="9" t="str">
        <f>IFERROR(__xludf.DUMMYFUNCTION("""COMPUTED_VALUE"""),"新竹市私立光復高級中學")</f>
        <v>新竹市私立光復高級中學</v>
      </c>
      <c r="E396" s="9" t="str">
        <f>IFERROR(__xludf.DUMMYFUNCTION("""COMPUTED_VALUE"""),"資料處理科")</f>
        <v>資料處理科</v>
      </c>
      <c r="F396" s="9" t="str">
        <f>IFERROR(__xludf.DUMMYFUNCTION("""COMPUTED_VALUE"""),"三年級")</f>
        <v>三年級</v>
      </c>
      <c r="G396" s="9" t="str">
        <f>IFERROR(__xludf.DUMMYFUNCTION("""COMPUTED_VALUE"""),"獎狀")</f>
        <v>獎狀</v>
      </c>
      <c r="H396" s="9"/>
    </row>
    <row r="397">
      <c r="A397" s="13" t="s">
        <v>11</v>
      </c>
      <c r="B397" s="9" t="str">
        <f>IFERROR(__xludf.DUMMYFUNCTION("""COMPUTED_VALUE"""),"林O洋")</f>
        <v>林O洋</v>
      </c>
      <c r="C397" s="9" t="str">
        <f>IFERROR(__xludf.DUMMYFUNCTION("""COMPUTED_VALUE"""),"kf2*****@kfsh.hc.edu.tw")</f>
        <v>kf2*****@kfsh.hc.edu.tw</v>
      </c>
      <c r="D397" s="9" t="str">
        <f>IFERROR(__xludf.DUMMYFUNCTION("""COMPUTED_VALUE"""),"新竹市私立光復高級中學")</f>
        <v>新竹市私立光復高級中學</v>
      </c>
      <c r="E397" s="9" t="str">
        <f>IFERROR(__xludf.DUMMYFUNCTION("""COMPUTED_VALUE"""),"資料處理科")</f>
        <v>資料處理科</v>
      </c>
      <c r="F397" s="9" t="str">
        <f>IFERROR(__xludf.DUMMYFUNCTION("""COMPUTED_VALUE"""),"三年級")</f>
        <v>三年級</v>
      </c>
      <c r="G397" s="9" t="str">
        <f>IFERROR(__xludf.DUMMYFUNCTION("""COMPUTED_VALUE"""),"■商品卡$200")</f>
        <v>■商品卡$200</v>
      </c>
      <c r="H397" s="9"/>
    </row>
    <row r="398">
      <c r="A398" s="13" t="s">
        <v>11</v>
      </c>
      <c r="B398" s="9" t="str">
        <f>IFERROR(__xludf.DUMMYFUNCTION("""COMPUTED_VALUE"""),"許O仁")</f>
        <v>許O仁</v>
      </c>
      <c r="C398" s="9" t="str">
        <f>IFERROR(__xludf.DUMMYFUNCTION("""COMPUTED_VALUE"""),"kf3*****@kfsh.hc.edu.tw")</f>
        <v>kf3*****@kfsh.hc.edu.tw</v>
      </c>
      <c r="D398" s="9" t="str">
        <f>IFERROR(__xludf.DUMMYFUNCTION("""COMPUTED_VALUE"""),"新竹市私立光復高級中學")</f>
        <v>新竹市私立光復高級中學</v>
      </c>
      <c r="E398" s="9" t="str">
        <f>IFERROR(__xludf.DUMMYFUNCTION("""COMPUTED_VALUE"""),"資訊科")</f>
        <v>資訊科</v>
      </c>
      <c r="F398" s="9" t="str">
        <f>IFERROR(__xludf.DUMMYFUNCTION("""COMPUTED_VALUE"""),"二年級")</f>
        <v>二年級</v>
      </c>
      <c r="G398" s="9" t="str">
        <f>IFERROR(__xludf.DUMMYFUNCTION("""COMPUTED_VALUE"""),"■商品卡$200")</f>
        <v>■商品卡$200</v>
      </c>
      <c r="H398" s="9"/>
    </row>
    <row r="399">
      <c r="A399" s="13" t="s">
        <v>11</v>
      </c>
      <c r="B399" s="9" t="str">
        <f>IFERROR(__xludf.DUMMYFUNCTION("""COMPUTED_VALUE"""),"李O鎧")</f>
        <v>李O鎧</v>
      </c>
      <c r="C399" s="9" t="str">
        <f>IFERROR(__xludf.DUMMYFUNCTION("""COMPUTED_VALUE"""),"kf2*****@kfsh.hc.edu.tw")</f>
        <v>kf2*****@kfsh.hc.edu.tw</v>
      </c>
      <c r="D399" s="9" t="str">
        <f>IFERROR(__xludf.DUMMYFUNCTION("""COMPUTED_VALUE"""),"新竹市私立光復高級中學")</f>
        <v>新竹市私立光復高級中學</v>
      </c>
      <c r="E399" s="9" t="str">
        <f>IFERROR(__xludf.DUMMYFUNCTION("""COMPUTED_VALUE"""),"資訊科")</f>
        <v>資訊科</v>
      </c>
      <c r="F399" s="9" t="str">
        <f>IFERROR(__xludf.DUMMYFUNCTION("""COMPUTED_VALUE"""),"三年級")</f>
        <v>三年級</v>
      </c>
      <c r="G399" s="9" t="str">
        <f>IFERROR(__xludf.DUMMYFUNCTION("""COMPUTED_VALUE"""),"獎狀")</f>
        <v>獎狀</v>
      </c>
      <c r="H399" s="9"/>
    </row>
    <row r="400">
      <c r="A400" s="13" t="s">
        <v>11</v>
      </c>
      <c r="B400" s="9" t="str">
        <f>IFERROR(__xludf.DUMMYFUNCTION("""COMPUTED_VALUE"""),"林O銘")</f>
        <v>林O銘</v>
      </c>
      <c r="C400" s="9" t="str">
        <f>IFERROR(__xludf.DUMMYFUNCTION("""COMPUTED_VALUE"""),"kf2*****@kfsh.hc.edu.tw")</f>
        <v>kf2*****@kfsh.hc.edu.tw</v>
      </c>
      <c r="D400" s="9" t="str">
        <f>IFERROR(__xludf.DUMMYFUNCTION("""COMPUTED_VALUE"""),"新竹市私立光復高級中學")</f>
        <v>新竹市私立光復高級中學</v>
      </c>
      <c r="E400" s="9" t="str">
        <f>IFERROR(__xludf.DUMMYFUNCTION("""COMPUTED_VALUE"""),"資訊科")</f>
        <v>資訊科</v>
      </c>
      <c r="F400" s="9" t="str">
        <f>IFERROR(__xludf.DUMMYFUNCTION("""COMPUTED_VALUE"""),"三年級")</f>
        <v>三年級</v>
      </c>
      <c r="G400" s="9" t="str">
        <f>IFERROR(__xludf.DUMMYFUNCTION("""COMPUTED_VALUE"""),"獎狀")</f>
        <v>獎狀</v>
      </c>
      <c r="H400" s="9"/>
    </row>
    <row r="401">
      <c r="A401" s="13" t="s">
        <v>11</v>
      </c>
      <c r="B401" s="9" t="str">
        <f>IFERROR(__xludf.DUMMYFUNCTION("""COMPUTED_VALUE"""),"倪O量")</f>
        <v>倪O量</v>
      </c>
      <c r="C401" s="9" t="str">
        <f>IFERROR(__xludf.DUMMYFUNCTION("""COMPUTED_VALUE"""),"kf2*****@kfsh.hc.edu.tw")</f>
        <v>kf2*****@kfsh.hc.edu.tw</v>
      </c>
      <c r="D401" s="9" t="str">
        <f>IFERROR(__xludf.DUMMYFUNCTION("""COMPUTED_VALUE"""),"新竹市私立光復高級中學")</f>
        <v>新竹市私立光復高級中學</v>
      </c>
      <c r="E401" s="9" t="str">
        <f>IFERROR(__xludf.DUMMYFUNCTION("""COMPUTED_VALUE"""),"資訊科")</f>
        <v>資訊科</v>
      </c>
      <c r="F401" s="9" t="str">
        <f>IFERROR(__xludf.DUMMYFUNCTION("""COMPUTED_VALUE"""),"三年級")</f>
        <v>三年級</v>
      </c>
      <c r="G401" s="9" t="str">
        <f>IFERROR(__xludf.DUMMYFUNCTION("""COMPUTED_VALUE"""),"■商品卡$200")</f>
        <v>■商品卡$200</v>
      </c>
      <c r="H401" s="9"/>
    </row>
    <row r="402">
      <c r="A402" s="13" t="s">
        <v>11</v>
      </c>
      <c r="B402" s="9" t="str">
        <f>IFERROR(__xludf.DUMMYFUNCTION("""COMPUTED_VALUE"""),"王O皓")</f>
        <v>王O皓</v>
      </c>
      <c r="C402" s="9" t="str">
        <f>IFERROR(__xludf.DUMMYFUNCTION("""COMPUTED_VALUE"""),"kf2*****@kfsh.hc.edu.tw")</f>
        <v>kf2*****@kfsh.hc.edu.tw</v>
      </c>
      <c r="D402" s="9" t="str">
        <f>IFERROR(__xludf.DUMMYFUNCTION("""COMPUTED_VALUE"""),"新竹市私立光復高級中學")</f>
        <v>新竹市私立光復高級中學</v>
      </c>
      <c r="E402" s="9" t="str">
        <f>IFERROR(__xludf.DUMMYFUNCTION("""COMPUTED_VALUE"""),"資訊科")</f>
        <v>資訊科</v>
      </c>
      <c r="F402" s="9" t="str">
        <f>IFERROR(__xludf.DUMMYFUNCTION("""COMPUTED_VALUE"""),"三年級")</f>
        <v>三年級</v>
      </c>
      <c r="G402" s="9" t="str">
        <f>IFERROR(__xludf.DUMMYFUNCTION("""COMPUTED_VALUE"""),"★商品卡$1000")</f>
        <v>★商品卡$1000</v>
      </c>
      <c r="H402" s="9"/>
    </row>
    <row r="403">
      <c r="A403" s="13" t="s">
        <v>11</v>
      </c>
      <c r="B403" s="9" t="str">
        <f>IFERROR(__xludf.DUMMYFUNCTION("""COMPUTED_VALUE"""),"陳O中")</f>
        <v>陳O中</v>
      </c>
      <c r="C403" s="9" t="str">
        <f>IFERROR(__xludf.DUMMYFUNCTION("""COMPUTED_VALUE"""),"kf2*****@kfsh.hc.edu.tw")</f>
        <v>kf2*****@kfsh.hc.edu.tw</v>
      </c>
      <c r="D403" s="9" t="str">
        <f>IFERROR(__xludf.DUMMYFUNCTION("""COMPUTED_VALUE"""),"新竹市私立光復高級中學")</f>
        <v>新竹市私立光復高級中學</v>
      </c>
      <c r="E403" s="9" t="str">
        <f>IFERROR(__xludf.DUMMYFUNCTION("""COMPUTED_VALUE"""),"資訊科")</f>
        <v>資訊科</v>
      </c>
      <c r="F403" s="9" t="str">
        <f>IFERROR(__xludf.DUMMYFUNCTION("""COMPUTED_VALUE"""),"三年級")</f>
        <v>三年級</v>
      </c>
      <c r="G403" s="9" t="str">
        <f>IFERROR(__xludf.DUMMYFUNCTION("""COMPUTED_VALUE"""),"獎狀")</f>
        <v>獎狀</v>
      </c>
      <c r="H403" s="9"/>
    </row>
    <row r="404">
      <c r="A404" s="13" t="s">
        <v>11</v>
      </c>
      <c r="B404" s="9" t="str">
        <f>IFERROR(__xludf.DUMMYFUNCTION("""COMPUTED_VALUE"""),"李O昊")</f>
        <v>李O昊</v>
      </c>
      <c r="C404" s="9" t="str">
        <f>IFERROR(__xludf.DUMMYFUNCTION("""COMPUTED_VALUE"""),"kf2*****@kfsh.hc.edu.tw")</f>
        <v>kf2*****@kfsh.hc.edu.tw</v>
      </c>
      <c r="D404" s="9" t="str">
        <f>IFERROR(__xludf.DUMMYFUNCTION("""COMPUTED_VALUE"""),"新竹市私立光復高級中學")</f>
        <v>新竹市私立光復高級中學</v>
      </c>
      <c r="E404" s="9" t="str">
        <f>IFERROR(__xludf.DUMMYFUNCTION("""COMPUTED_VALUE"""),"資訊科")</f>
        <v>資訊科</v>
      </c>
      <c r="F404" s="9" t="str">
        <f>IFERROR(__xludf.DUMMYFUNCTION("""COMPUTED_VALUE"""),"三年級")</f>
        <v>三年級</v>
      </c>
      <c r="G404" s="9" t="str">
        <f>IFERROR(__xludf.DUMMYFUNCTION("""COMPUTED_VALUE"""),"■商品卡$200")</f>
        <v>■商品卡$200</v>
      </c>
      <c r="H404" s="9"/>
    </row>
    <row r="405">
      <c r="A405" s="13" t="s">
        <v>11</v>
      </c>
      <c r="B405" s="9" t="str">
        <f>IFERROR(__xludf.DUMMYFUNCTION("""COMPUTED_VALUE"""),"廖O齊")</f>
        <v>廖O齊</v>
      </c>
      <c r="C405" s="9" t="str">
        <f>IFERROR(__xludf.DUMMYFUNCTION("""COMPUTED_VALUE"""),"kf2*****@kfsh.hc.edu.tw")</f>
        <v>kf2*****@kfsh.hc.edu.tw</v>
      </c>
      <c r="D405" s="9" t="str">
        <f>IFERROR(__xludf.DUMMYFUNCTION("""COMPUTED_VALUE"""),"新竹市私立光復高級中學")</f>
        <v>新竹市私立光復高級中學</v>
      </c>
      <c r="E405" s="9" t="str">
        <f>IFERROR(__xludf.DUMMYFUNCTION("""COMPUTED_VALUE"""),"資訊科")</f>
        <v>資訊科</v>
      </c>
      <c r="F405" s="9" t="str">
        <f>IFERROR(__xludf.DUMMYFUNCTION("""COMPUTED_VALUE"""),"三年級")</f>
        <v>三年級</v>
      </c>
      <c r="G405" s="9" t="str">
        <f>IFERROR(__xludf.DUMMYFUNCTION("""COMPUTED_VALUE"""),"■商品卡$200")</f>
        <v>■商品卡$200</v>
      </c>
      <c r="H405" s="9"/>
    </row>
    <row r="406">
      <c r="A406" s="13" t="s">
        <v>11</v>
      </c>
      <c r="B406" s="9" t="str">
        <f>IFERROR(__xludf.DUMMYFUNCTION("""COMPUTED_VALUE"""),"張O品筠")</f>
        <v>張O品筠</v>
      </c>
      <c r="C406" s="9" t="str">
        <f>IFERROR(__xludf.DUMMYFUNCTION("""COMPUTED_VALUE"""),"kf3*****@kfsh.hc.edu.tw")</f>
        <v>kf3*****@kfsh.hc.edu.tw</v>
      </c>
      <c r="D406" s="9" t="str">
        <f>IFERROR(__xludf.DUMMYFUNCTION("""COMPUTED_VALUE"""),"新竹市私立光復高級中學")</f>
        <v>新竹市私立光復高級中學</v>
      </c>
      <c r="E406" s="9" t="str">
        <f>IFERROR(__xludf.DUMMYFUNCTION("""COMPUTED_VALUE"""),"電子科")</f>
        <v>電子科</v>
      </c>
      <c r="F406" s="9" t="str">
        <f>IFERROR(__xludf.DUMMYFUNCTION("""COMPUTED_VALUE"""),"二年級")</f>
        <v>二年級</v>
      </c>
      <c r="G406" s="9" t="str">
        <f>IFERROR(__xludf.DUMMYFUNCTION("""COMPUTED_VALUE"""),"獎狀")</f>
        <v>獎狀</v>
      </c>
      <c r="H406" s="9"/>
    </row>
    <row r="407">
      <c r="A407" s="13" t="s">
        <v>11</v>
      </c>
      <c r="B407" s="9" t="str">
        <f>IFERROR(__xludf.DUMMYFUNCTION("""COMPUTED_VALUE"""),"彭O家")</f>
        <v>彭O家</v>
      </c>
      <c r="C407" s="9" t="str">
        <f>IFERROR(__xludf.DUMMYFUNCTION("""COMPUTED_VALUE"""),"kf2*****@kfsh.hc.edu.tw")</f>
        <v>kf2*****@kfsh.hc.edu.tw</v>
      </c>
      <c r="D407" s="9" t="str">
        <f>IFERROR(__xludf.DUMMYFUNCTION("""COMPUTED_VALUE"""),"新竹市私立光復高級中學")</f>
        <v>新竹市私立光復高級中學</v>
      </c>
      <c r="E407" s="9" t="str">
        <f>IFERROR(__xludf.DUMMYFUNCTION("""COMPUTED_VALUE"""),"餐飲科")</f>
        <v>餐飲科</v>
      </c>
      <c r="F407" s="9" t="str">
        <f>IFERROR(__xludf.DUMMYFUNCTION("""COMPUTED_VALUE"""),"三年級")</f>
        <v>三年級</v>
      </c>
      <c r="G407" s="9" t="str">
        <f>IFERROR(__xludf.DUMMYFUNCTION("""COMPUTED_VALUE"""),"獎狀")</f>
        <v>獎狀</v>
      </c>
      <c r="H407" s="9"/>
    </row>
    <row r="408">
      <c r="A408" s="13" t="s">
        <v>11</v>
      </c>
      <c r="B408" s="9" t="str">
        <f>IFERROR(__xludf.DUMMYFUNCTION("""COMPUTED_VALUE"""),"潘O呈")</f>
        <v>潘O呈</v>
      </c>
      <c r="C408" s="9" t="str">
        <f>IFERROR(__xludf.DUMMYFUNCTION("""COMPUTED_VALUE"""),"kf2*****@kfsh.hc.edu.tw")</f>
        <v>kf2*****@kfsh.hc.edu.tw</v>
      </c>
      <c r="D408" s="9" t="str">
        <f>IFERROR(__xludf.DUMMYFUNCTION("""COMPUTED_VALUE"""),"新竹市私立光復高級中學")</f>
        <v>新竹市私立光復高級中學</v>
      </c>
      <c r="E408" s="9" t="str">
        <f>IFERROR(__xludf.DUMMYFUNCTION("""COMPUTED_VALUE"""),"餐飲科")</f>
        <v>餐飲科</v>
      </c>
      <c r="F408" s="9" t="str">
        <f>IFERROR(__xludf.DUMMYFUNCTION("""COMPUTED_VALUE"""),"三年級")</f>
        <v>三年級</v>
      </c>
      <c r="G408" s="9" t="str">
        <f>IFERROR(__xludf.DUMMYFUNCTION("""COMPUTED_VALUE"""),"獎狀")</f>
        <v>獎狀</v>
      </c>
      <c r="H408" s="9"/>
    </row>
    <row r="409">
      <c r="A409" s="13" t="s">
        <v>11</v>
      </c>
      <c r="B409" s="9" t="str">
        <f>IFERROR(__xludf.DUMMYFUNCTION("""COMPUTED_VALUE"""),"徐O元")</f>
        <v>徐O元</v>
      </c>
      <c r="C409" s="9" t="str">
        <f>IFERROR(__xludf.DUMMYFUNCTION("""COMPUTED_VALUE"""),"kf2*****@kfsh.hc.edu.tw")</f>
        <v>kf2*****@kfsh.hc.edu.tw</v>
      </c>
      <c r="D409" s="9" t="str">
        <f>IFERROR(__xludf.DUMMYFUNCTION("""COMPUTED_VALUE"""),"新竹市私立光復高級中學")</f>
        <v>新竹市私立光復高級中學</v>
      </c>
      <c r="E409" s="9" t="str">
        <f>IFERROR(__xludf.DUMMYFUNCTION("""COMPUTED_VALUE"""),"餐飲科")</f>
        <v>餐飲科</v>
      </c>
      <c r="F409" s="9" t="str">
        <f>IFERROR(__xludf.DUMMYFUNCTION("""COMPUTED_VALUE"""),"三年級")</f>
        <v>三年級</v>
      </c>
      <c r="G409" s="9" t="str">
        <f>IFERROR(__xludf.DUMMYFUNCTION("""COMPUTED_VALUE"""),"獎狀")</f>
        <v>獎狀</v>
      </c>
      <c r="H409" s="9"/>
    </row>
    <row r="410">
      <c r="A410" s="13" t="s">
        <v>11</v>
      </c>
      <c r="B410" s="9" t="str">
        <f>IFERROR(__xludf.DUMMYFUNCTION("""COMPUTED_VALUE"""),"邱O喬")</f>
        <v>邱O喬</v>
      </c>
      <c r="C410" s="9" t="str">
        <f>IFERROR(__xludf.DUMMYFUNCTION("""COMPUTED_VALUE"""),"kf2*****@kfsh.hc.edu.tw")</f>
        <v>kf2*****@kfsh.hc.edu.tw</v>
      </c>
      <c r="D410" s="9" t="str">
        <f>IFERROR(__xludf.DUMMYFUNCTION("""COMPUTED_VALUE"""),"新竹市私立光復高級中學")</f>
        <v>新竹市私立光復高級中學</v>
      </c>
      <c r="E410" s="9" t="str">
        <f>IFERROR(__xludf.DUMMYFUNCTION("""COMPUTED_VALUE"""),"餐飲科")</f>
        <v>餐飲科</v>
      </c>
      <c r="F410" s="9" t="str">
        <f>IFERROR(__xludf.DUMMYFUNCTION("""COMPUTED_VALUE"""),"三年級")</f>
        <v>三年級</v>
      </c>
      <c r="G410" s="9" t="str">
        <f>IFERROR(__xludf.DUMMYFUNCTION("""COMPUTED_VALUE"""),"★商品卡$1000")</f>
        <v>★商品卡$1000</v>
      </c>
      <c r="H410" s="9"/>
    </row>
    <row r="411">
      <c r="A411" s="13" t="s">
        <v>11</v>
      </c>
      <c r="B411" s="9" t="str">
        <f>IFERROR(__xludf.DUMMYFUNCTION("""COMPUTED_VALUE"""),"邱O茹")</f>
        <v>邱O茹</v>
      </c>
      <c r="C411" s="9" t="str">
        <f>IFERROR(__xludf.DUMMYFUNCTION("""COMPUTED_VALUE"""),"kf2*****@kfsh.hc.edu.tw")</f>
        <v>kf2*****@kfsh.hc.edu.tw</v>
      </c>
      <c r="D411" s="9" t="str">
        <f>IFERROR(__xludf.DUMMYFUNCTION("""COMPUTED_VALUE"""),"新竹市私立光復高級中學")</f>
        <v>新竹市私立光復高級中學</v>
      </c>
      <c r="E411" s="9" t="str">
        <f>IFERROR(__xludf.DUMMYFUNCTION("""COMPUTED_VALUE"""),"餐飲科")</f>
        <v>餐飲科</v>
      </c>
      <c r="F411" s="9" t="str">
        <f>IFERROR(__xludf.DUMMYFUNCTION("""COMPUTED_VALUE"""),"三年級")</f>
        <v>三年級</v>
      </c>
      <c r="G411" s="9" t="str">
        <f>IFERROR(__xludf.DUMMYFUNCTION("""COMPUTED_VALUE"""),"獎狀")</f>
        <v>獎狀</v>
      </c>
      <c r="H411" s="9"/>
    </row>
    <row r="412">
      <c r="A412" s="13" t="s">
        <v>11</v>
      </c>
      <c r="B412" s="9" t="str">
        <f>IFERROR(__xludf.DUMMYFUNCTION("""COMPUTED_VALUE"""),"蕭O豪")</f>
        <v>蕭O豪</v>
      </c>
      <c r="C412" s="9" t="str">
        <f>IFERROR(__xludf.DUMMYFUNCTION("""COMPUTED_VALUE"""),"kf2*****@kfsh.hc.edu.tw")</f>
        <v>kf2*****@kfsh.hc.edu.tw</v>
      </c>
      <c r="D412" s="9" t="str">
        <f>IFERROR(__xludf.DUMMYFUNCTION("""COMPUTED_VALUE"""),"新竹市私立光復高級中學")</f>
        <v>新竹市私立光復高級中學</v>
      </c>
      <c r="E412" s="9" t="str">
        <f>IFERROR(__xludf.DUMMYFUNCTION("""COMPUTED_VALUE"""),"餐飲科")</f>
        <v>餐飲科</v>
      </c>
      <c r="F412" s="9" t="str">
        <f>IFERROR(__xludf.DUMMYFUNCTION("""COMPUTED_VALUE"""),"三年級")</f>
        <v>三年級</v>
      </c>
      <c r="G412" s="9" t="str">
        <f>IFERROR(__xludf.DUMMYFUNCTION("""COMPUTED_VALUE"""),"獎狀")</f>
        <v>獎狀</v>
      </c>
      <c r="H412" s="9"/>
    </row>
    <row r="413">
      <c r="A413" s="13" t="s">
        <v>11</v>
      </c>
      <c r="B413" s="9" t="str">
        <f>IFERROR(__xludf.DUMMYFUNCTION("""COMPUTED_VALUE"""),"陳O佑")</f>
        <v>陳O佑</v>
      </c>
      <c r="C413" s="9" t="str">
        <f>IFERROR(__xludf.DUMMYFUNCTION("""COMPUTED_VALUE"""),"kf2*****@kfsh.hc.edu.tw")</f>
        <v>kf2*****@kfsh.hc.edu.tw</v>
      </c>
      <c r="D413" s="9" t="str">
        <f>IFERROR(__xludf.DUMMYFUNCTION("""COMPUTED_VALUE"""),"新竹市私立光復高級中學")</f>
        <v>新竹市私立光復高級中學</v>
      </c>
      <c r="E413" s="9" t="str">
        <f>IFERROR(__xludf.DUMMYFUNCTION("""COMPUTED_VALUE"""),"餐飲科")</f>
        <v>餐飲科</v>
      </c>
      <c r="F413" s="9" t="str">
        <f>IFERROR(__xludf.DUMMYFUNCTION("""COMPUTED_VALUE"""),"三年級")</f>
        <v>三年級</v>
      </c>
      <c r="G413" s="9" t="str">
        <f>IFERROR(__xludf.DUMMYFUNCTION("""COMPUTED_VALUE"""),"○商品卡$500")</f>
        <v>○商品卡$500</v>
      </c>
      <c r="H413" s="9"/>
    </row>
    <row r="414">
      <c r="A414" s="13" t="s">
        <v>11</v>
      </c>
      <c r="B414" s="9" t="str">
        <f>IFERROR(__xludf.DUMMYFUNCTION("""COMPUTED_VALUE"""),"林O恩")</f>
        <v>林O恩</v>
      </c>
      <c r="C414" s="9" t="str">
        <f>IFERROR(__xludf.DUMMYFUNCTION("""COMPUTED_VALUE"""),"kf2*****@kfsh.hc.edu.tw")</f>
        <v>kf2*****@kfsh.hc.edu.tw</v>
      </c>
      <c r="D414" s="9" t="str">
        <f>IFERROR(__xludf.DUMMYFUNCTION("""COMPUTED_VALUE"""),"新竹市私立光復高級中學")</f>
        <v>新竹市私立光復高級中學</v>
      </c>
      <c r="E414" s="9" t="str">
        <f>IFERROR(__xludf.DUMMYFUNCTION("""COMPUTED_VALUE"""),"餐飲科")</f>
        <v>餐飲科</v>
      </c>
      <c r="F414" s="9" t="str">
        <f>IFERROR(__xludf.DUMMYFUNCTION("""COMPUTED_VALUE"""),"三年級")</f>
        <v>三年級</v>
      </c>
      <c r="G414" s="9" t="str">
        <f>IFERROR(__xludf.DUMMYFUNCTION("""COMPUTED_VALUE"""),"獎狀")</f>
        <v>獎狀</v>
      </c>
      <c r="H414" s="9"/>
    </row>
    <row r="415">
      <c r="A415" s="13" t="s">
        <v>11</v>
      </c>
      <c r="B415" s="9" t="str">
        <f>IFERROR(__xludf.DUMMYFUNCTION("""COMPUTED_VALUE"""),"賴O安")</f>
        <v>賴O安</v>
      </c>
      <c r="C415" s="9" t="str">
        <f>IFERROR(__xludf.DUMMYFUNCTION("""COMPUTED_VALUE"""),"rou*****125@gmail.com")</f>
        <v>rou*****125@gmail.com</v>
      </c>
      <c r="D415" s="9" t="str">
        <f>IFERROR(__xludf.DUMMYFUNCTION("""COMPUTED_VALUE"""),"新竹市私立光復高級中學")</f>
        <v>新竹市私立光復高級中學</v>
      </c>
      <c r="E415" s="9" t="str">
        <f>IFERROR(__xludf.DUMMYFUNCTION("""COMPUTED_VALUE"""),"餐飲科")</f>
        <v>餐飲科</v>
      </c>
      <c r="F415" s="9" t="str">
        <f>IFERROR(__xludf.DUMMYFUNCTION("""COMPUTED_VALUE"""),"三年級")</f>
        <v>三年級</v>
      </c>
      <c r="G415" s="9" t="str">
        <f>IFERROR(__xludf.DUMMYFUNCTION("""COMPUTED_VALUE"""),"獎狀")</f>
        <v>獎狀</v>
      </c>
      <c r="H415" s="9"/>
    </row>
    <row r="416">
      <c r="A416" s="13" t="s">
        <v>11</v>
      </c>
      <c r="B416" s="9" t="str">
        <f>IFERROR(__xludf.DUMMYFUNCTION("""COMPUTED_VALUE"""),"鄭O云")</f>
        <v>鄭O云</v>
      </c>
      <c r="C416" s="9" t="str">
        <f>IFERROR(__xludf.DUMMYFUNCTION("""COMPUTED_VALUE"""),"Kf2*****@kfsh.hc.edu.tw")</f>
        <v>Kf2*****@kfsh.hc.edu.tw</v>
      </c>
      <c r="D416" s="9" t="str">
        <f>IFERROR(__xludf.DUMMYFUNCTION("""COMPUTED_VALUE"""),"新竹市私立光復高級中學")</f>
        <v>新竹市私立光復高級中學</v>
      </c>
      <c r="E416" s="9" t="str">
        <f>IFERROR(__xludf.DUMMYFUNCTION("""COMPUTED_VALUE"""),"應日科")</f>
        <v>應日科</v>
      </c>
      <c r="F416" s="9" t="str">
        <f>IFERROR(__xludf.DUMMYFUNCTION("""COMPUTED_VALUE"""),"三年級")</f>
        <v>三年級</v>
      </c>
      <c r="G416" s="9" t="str">
        <f>IFERROR(__xludf.DUMMYFUNCTION("""COMPUTED_VALUE"""),"獎狀")</f>
        <v>獎狀</v>
      </c>
      <c r="H416" s="9"/>
    </row>
    <row r="417">
      <c r="A417" s="13" t="s">
        <v>11</v>
      </c>
      <c r="B417" s="9" t="str">
        <f>IFERROR(__xludf.DUMMYFUNCTION("""COMPUTED_VALUE"""),"張O語")</f>
        <v>張O語</v>
      </c>
      <c r="C417" s="9" t="str">
        <f>IFERROR(__xludf.DUMMYFUNCTION("""COMPUTED_VALUE"""),"kf2*****@kfsh.hc.edu.tw")</f>
        <v>kf2*****@kfsh.hc.edu.tw</v>
      </c>
      <c r="D417" s="9" t="str">
        <f>IFERROR(__xludf.DUMMYFUNCTION("""COMPUTED_VALUE"""),"新竹市私立光復高級中學")</f>
        <v>新竹市私立光復高級中學</v>
      </c>
      <c r="E417" s="9" t="str">
        <f>IFERROR(__xludf.DUMMYFUNCTION("""COMPUTED_VALUE"""),"應日科")</f>
        <v>應日科</v>
      </c>
      <c r="F417" s="9" t="str">
        <f>IFERROR(__xludf.DUMMYFUNCTION("""COMPUTED_VALUE"""),"三年級")</f>
        <v>三年級</v>
      </c>
      <c r="G417" s="9" t="str">
        <f>IFERROR(__xludf.DUMMYFUNCTION("""COMPUTED_VALUE"""),"獎狀")</f>
        <v>獎狀</v>
      </c>
      <c r="H417" s="9"/>
    </row>
    <row r="418">
      <c r="A418" s="13" t="s">
        <v>11</v>
      </c>
      <c r="B418" s="9" t="str">
        <f>IFERROR(__xludf.DUMMYFUNCTION("""COMPUTED_VALUE"""),"蔡O安")</f>
        <v>蔡O安</v>
      </c>
      <c r="C418" s="9" t="str">
        <f>IFERROR(__xludf.DUMMYFUNCTION("""COMPUTED_VALUE"""),"kf2*****@kfsh.hc.edu.tw")</f>
        <v>kf2*****@kfsh.hc.edu.tw</v>
      </c>
      <c r="D418" s="9" t="str">
        <f>IFERROR(__xludf.DUMMYFUNCTION("""COMPUTED_VALUE"""),"新竹市私立光復高級中學")</f>
        <v>新竹市私立光復高級中學</v>
      </c>
      <c r="E418" s="9" t="str">
        <f>IFERROR(__xludf.DUMMYFUNCTION("""COMPUTED_VALUE"""),"應日科")</f>
        <v>應日科</v>
      </c>
      <c r="F418" s="9" t="str">
        <f>IFERROR(__xludf.DUMMYFUNCTION("""COMPUTED_VALUE"""),"三年級")</f>
        <v>三年級</v>
      </c>
      <c r="G418" s="9" t="str">
        <f>IFERROR(__xludf.DUMMYFUNCTION("""COMPUTED_VALUE"""),"獎狀")</f>
        <v>獎狀</v>
      </c>
      <c r="H418" s="9"/>
    </row>
    <row r="419">
      <c r="A419" s="13" t="s">
        <v>11</v>
      </c>
      <c r="B419" s="9" t="str">
        <f>IFERROR(__xludf.DUMMYFUNCTION("""COMPUTED_VALUE"""),"張O婕")</f>
        <v>張O婕</v>
      </c>
      <c r="C419" s="9" t="str">
        <f>IFERROR(__xludf.DUMMYFUNCTION("""COMPUTED_VALUE"""),"kf2*****@kfsh.hc.edu.tw")</f>
        <v>kf2*****@kfsh.hc.edu.tw</v>
      </c>
      <c r="D419" s="9" t="str">
        <f>IFERROR(__xludf.DUMMYFUNCTION("""COMPUTED_VALUE"""),"新竹市私立光復高級中學")</f>
        <v>新竹市私立光復高級中學</v>
      </c>
      <c r="E419" s="9" t="str">
        <f>IFERROR(__xludf.DUMMYFUNCTION("""COMPUTED_VALUE"""),"應日科")</f>
        <v>應日科</v>
      </c>
      <c r="F419" s="9" t="str">
        <f>IFERROR(__xludf.DUMMYFUNCTION("""COMPUTED_VALUE"""),"三年級")</f>
        <v>三年級</v>
      </c>
      <c r="G419" s="9" t="str">
        <f>IFERROR(__xludf.DUMMYFUNCTION("""COMPUTED_VALUE"""),"獎狀")</f>
        <v>獎狀</v>
      </c>
      <c r="H419" s="9"/>
    </row>
    <row r="420">
      <c r="A420" s="13" t="s">
        <v>11</v>
      </c>
      <c r="B420" s="9" t="str">
        <f>IFERROR(__xludf.DUMMYFUNCTION("""COMPUTED_VALUE"""),"蔡O庭")</f>
        <v>蔡O庭</v>
      </c>
      <c r="C420" s="9" t="str">
        <f>IFERROR(__xludf.DUMMYFUNCTION("""COMPUTED_VALUE"""),"kf2*****@kfsh.hc.edu.tw")</f>
        <v>kf2*****@kfsh.hc.edu.tw</v>
      </c>
      <c r="D420" s="9" t="str">
        <f>IFERROR(__xludf.DUMMYFUNCTION("""COMPUTED_VALUE"""),"新竹市私立光復高級中學")</f>
        <v>新竹市私立光復高級中學</v>
      </c>
      <c r="E420" s="9" t="str">
        <f>IFERROR(__xludf.DUMMYFUNCTION("""COMPUTED_VALUE"""),"應日科")</f>
        <v>應日科</v>
      </c>
      <c r="F420" s="9" t="str">
        <f>IFERROR(__xludf.DUMMYFUNCTION("""COMPUTED_VALUE"""),"三年級")</f>
        <v>三年級</v>
      </c>
      <c r="G420" s="9" t="str">
        <f>IFERROR(__xludf.DUMMYFUNCTION("""COMPUTED_VALUE"""),"獎狀")</f>
        <v>獎狀</v>
      </c>
      <c r="H420" s="9"/>
    </row>
    <row r="421">
      <c r="A421" s="13" t="s">
        <v>11</v>
      </c>
      <c r="B421" s="9" t="str">
        <f>IFERROR(__xludf.DUMMYFUNCTION("""COMPUTED_VALUE"""),"陳O鈞")</f>
        <v>陳O鈞</v>
      </c>
      <c r="C421" s="9" t="str">
        <f>IFERROR(__xludf.DUMMYFUNCTION("""COMPUTED_VALUE"""),"kf2*****@kfsh.hc.edu.tw")</f>
        <v>kf2*****@kfsh.hc.edu.tw</v>
      </c>
      <c r="D421" s="9" t="str">
        <f>IFERROR(__xludf.DUMMYFUNCTION("""COMPUTED_VALUE"""),"新竹市私立光復高級中學")</f>
        <v>新竹市私立光復高級中學</v>
      </c>
      <c r="E421" s="9" t="str">
        <f>IFERROR(__xludf.DUMMYFUNCTION("""COMPUTED_VALUE"""),"應日科")</f>
        <v>應日科</v>
      </c>
      <c r="F421" s="9" t="str">
        <f>IFERROR(__xludf.DUMMYFUNCTION("""COMPUTED_VALUE"""),"三年級")</f>
        <v>三年級</v>
      </c>
      <c r="G421" s="9" t="str">
        <f>IFERROR(__xludf.DUMMYFUNCTION("""COMPUTED_VALUE"""),"獎狀")</f>
        <v>獎狀</v>
      </c>
      <c r="H421" s="9"/>
    </row>
    <row r="422">
      <c r="A422" s="13" t="s">
        <v>11</v>
      </c>
      <c r="B422" s="9" t="str">
        <f>IFERROR(__xludf.DUMMYFUNCTION("""COMPUTED_VALUE"""),"林O呈")</f>
        <v>林O呈</v>
      </c>
      <c r="C422" s="9" t="str">
        <f>IFERROR(__xludf.DUMMYFUNCTION("""COMPUTED_VALUE"""),"kf2*****@kfsh.hc.edu.tw")</f>
        <v>kf2*****@kfsh.hc.edu.tw</v>
      </c>
      <c r="D422" s="9" t="str">
        <f>IFERROR(__xludf.DUMMYFUNCTION("""COMPUTED_VALUE"""),"新竹市私立光復高級中學")</f>
        <v>新竹市私立光復高級中學</v>
      </c>
      <c r="E422" s="9" t="str">
        <f>IFERROR(__xludf.DUMMYFUNCTION("""COMPUTED_VALUE"""),"應日科")</f>
        <v>應日科</v>
      </c>
      <c r="F422" s="9" t="str">
        <f>IFERROR(__xludf.DUMMYFUNCTION("""COMPUTED_VALUE"""),"三年級")</f>
        <v>三年級</v>
      </c>
      <c r="G422" s="9" t="str">
        <f>IFERROR(__xludf.DUMMYFUNCTION("""COMPUTED_VALUE"""),"■商品卡$200")</f>
        <v>■商品卡$200</v>
      </c>
      <c r="H422" s="9"/>
    </row>
    <row r="423">
      <c r="A423" s="13" t="s">
        <v>11</v>
      </c>
      <c r="B423" s="9" t="str">
        <f>IFERROR(__xludf.DUMMYFUNCTION("""COMPUTED_VALUE"""),"林O芳")</f>
        <v>林O芳</v>
      </c>
      <c r="C423" s="9" t="str">
        <f>IFERROR(__xludf.DUMMYFUNCTION("""COMPUTED_VALUE"""),"kf2*****@kfsh.hc.edu.tw")</f>
        <v>kf2*****@kfsh.hc.edu.tw</v>
      </c>
      <c r="D423" s="9" t="str">
        <f>IFERROR(__xludf.DUMMYFUNCTION("""COMPUTED_VALUE"""),"新竹市私立光復高級中學")</f>
        <v>新竹市私立光復高級中學</v>
      </c>
      <c r="E423" s="9" t="str">
        <f>IFERROR(__xludf.DUMMYFUNCTION("""COMPUTED_VALUE"""),"應日科")</f>
        <v>應日科</v>
      </c>
      <c r="F423" s="9" t="str">
        <f>IFERROR(__xludf.DUMMYFUNCTION("""COMPUTED_VALUE"""),"三年級")</f>
        <v>三年級</v>
      </c>
      <c r="G423" s="9" t="str">
        <f>IFERROR(__xludf.DUMMYFUNCTION("""COMPUTED_VALUE"""),"獎狀")</f>
        <v>獎狀</v>
      </c>
      <c r="H423" s="9"/>
    </row>
    <row r="424">
      <c r="A424" s="13" t="s">
        <v>11</v>
      </c>
      <c r="B424" s="9" t="str">
        <f>IFERROR(__xludf.DUMMYFUNCTION("""COMPUTED_VALUE"""),"吳O軒")</f>
        <v>吳O軒</v>
      </c>
      <c r="C424" s="9" t="str">
        <f>IFERROR(__xludf.DUMMYFUNCTION("""COMPUTED_VALUE"""),"kf2*****@kfsh.hc.edu.tw")</f>
        <v>kf2*****@kfsh.hc.edu.tw</v>
      </c>
      <c r="D424" s="9" t="str">
        <f>IFERROR(__xludf.DUMMYFUNCTION("""COMPUTED_VALUE"""),"新竹市私立光復高級中學")</f>
        <v>新竹市私立光復高級中學</v>
      </c>
      <c r="E424" s="9" t="str">
        <f>IFERROR(__xludf.DUMMYFUNCTION("""COMPUTED_VALUE"""),"應日科")</f>
        <v>應日科</v>
      </c>
      <c r="F424" s="9" t="str">
        <f>IFERROR(__xludf.DUMMYFUNCTION("""COMPUTED_VALUE"""),"三年級")</f>
        <v>三年級</v>
      </c>
      <c r="G424" s="9" t="str">
        <f>IFERROR(__xludf.DUMMYFUNCTION("""COMPUTED_VALUE"""),"獎狀")</f>
        <v>獎狀</v>
      </c>
      <c r="H424" s="9"/>
    </row>
    <row r="425">
      <c r="A425" s="13" t="s">
        <v>11</v>
      </c>
      <c r="B425" s="9" t="str">
        <f>IFERROR(__xludf.DUMMYFUNCTION("""COMPUTED_VALUE"""),"林O廷")</f>
        <v>林O廷</v>
      </c>
      <c r="C425" s="9" t="str">
        <f>IFERROR(__xludf.DUMMYFUNCTION("""COMPUTED_VALUE"""),"lin*****70125@gmail.com")</f>
        <v>lin*****70125@gmail.com</v>
      </c>
      <c r="D425" s="9" t="str">
        <f>IFERROR(__xludf.DUMMYFUNCTION("""COMPUTED_VALUE"""),"新竹市私立光復高級中學")</f>
        <v>新竹市私立光復高級中學</v>
      </c>
      <c r="E425" s="9" t="str">
        <f>IFERROR(__xludf.DUMMYFUNCTION("""COMPUTED_VALUE"""),"應日科")</f>
        <v>應日科</v>
      </c>
      <c r="F425" s="9" t="str">
        <f>IFERROR(__xludf.DUMMYFUNCTION("""COMPUTED_VALUE"""),"三年級")</f>
        <v>三年級</v>
      </c>
      <c r="G425" s="9" t="str">
        <f>IFERROR(__xludf.DUMMYFUNCTION("""COMPUTED_VALUE"""),"獎狀")</f>
        <v>獎狀</v>
      </c>
      <c r="H425" s="9"/>
    </row>
    <row r="426">
      <c r="A426" s="13" t="s">
        <v>11</v>
      </c>
      <c r="B426" s="9" t="str">
        <f>IFERROR(__xludf.DUMMYFUNCTION("""COMPUTED_VALUE"""),"黃O涵")</f>
        <v>黃O涵</v>
      </c>
      <c r="C426" s="9" t="str">
        <f>IFERROR(__xludf.DUMMYFUNCTION("""COMPUTED_VALUE"""),"kf2*****@kfsh.hc.edu.tw")</f>
        <v>kf2*****@kfsh.hc.edu.tw</v>
      </c>
      <c r="D426" s="9" t="str">
        <f>IFERROR(__xludf.DUMMYFUNCTION("""COMPUTED_VALUE"""),"新竹市私立光復高級中學")</f>
        <v>新竹市私立光復高級中學</v>
      </c>
      <c r="E426" s="9" t="str">
        <f>IFERROR(__xludf.DUMMYFUNCTION("""COMPUTED_VALUE"""),"應英科")</f>
        <v>應英科</v>
      </c>
      <c r="F426" s="9" t="str">
        <f>IFERROR(__xludf.DUMMYFUNCTION("""COMPUTED_VALUE"""),"三年級")</f>
        <v>三年級</v>
      </c>
      <c r="G426" s="9" t="str">
        <f>IFERROR(__xludf.DUMMYFUNCTION("""COMPUTED_VALUE"""),"獎狀")</f>
        <v>獎狀</v>
      </c>
      <c r="H426" s="9"/>
    </row>
    <row r="427">
      <c r="A427" s="13" t="s">
        <v>11</v>
      </c>
      <c r="B427" s="9" t="str">
        <f>IFERROR(__xludf.DUMMYFUNCTION("""COMPUTED_VALUE"""),"黃O蓁")</f>
        <v>黃O蓁</v>
      </c>
      <c r="C427" s="9" t="str">
        <f>IFERROR(__xludf.DUMMYFUNCTION("""COMPUTED_VALUE"""),"kf2*****@kfsh.hc.edu.tw")</f>
        <v>kf2*****@kfsh.hc.edu.tw</v>
      </c>
      <c r="D427" s="9" t="str">
        <f>IFERROR(__xludf.DUMMYFUNCTION("""COMPUTED_VALUE"""),"新竹市私立光復高級中學")</f>
        <v>新竹市私立光復高級中學</v>
      </c>
      <c r="E427" s="9" t="str">
        <f>IFERROR(__xludf.DUMMYFUNCTION("""COMPUTED_VALUE"""),"應英科")</f>
        <v>應英科</v>
      </c>
      <c r="F427" s="9" t="str">
        <f>IFERROR(__xludf.DUMMYFUNCTION("""COMPUTED_VALUE"""),"三年級")</f>
        <v>三年級</v>
      </c>
      <c r="G427" s="9" t="str">
        <f>IFERROR(__xludf.DUMMYFUNCTION("""COMPUTED_VALUE"""),"獎狀")</f>
        <v>獎狀</v>
      </c>
      <c r="H427" s="9"/>
    </row>
    <row r="428">
      <c r="A428" s="13" t="s">
        <v>11</v>
      </c>
      <c r="B428" s="9" t="str">
        <f>IFERROR(__xludf.DUMMYFUNCTION("""COMPUTED_VALUE"""),"盧O潔")</f>
        <v>盧O潔</v>
      </c>
      <c r="C428" s="9" t="str">
        <f>IFERROR(__xludf.DUMMYFUNCTION("""COMPUTED_VALUE"""),"kf2*****@kfsh.hc.edu.tw")</f>
        <v>kf2*****@kfsh.hc.edu.tw</v>
      </c>
      <c r="D428" s="9" t="str">
        <f>IFERROR(__xludf.DUMMYFUNCTION("""COMPUTED_VALUE"""),"新竹市私立光復高級中學")</f>
        <v>新竹市私立光復高級中學</v>
      </c>
      <c r="E428" s="9" t="str">
        <f>IFERROR(__xludf.DUMMYFUNCTION("""COMPUTED_VALUE"""),"應英科")</f>
        <v>應英科</v>
      </c>
      <c r="F428" s="9" t="str">
        <f>IFERROR(__xludf.DUMMYFUNCTION("""COMPUTED_VALUE"""),"三年級")</f>
        <v>三年級</v>
      </c>
      <c r="G428" s="9" t="str">
        <f>IFERROR(__xludf.DUMMYFUNCTION("""COMPUTED_VALUE"""),"獎狀")</f>
        <v>獎狀</v>
      </c>
      <c r="H428" s="9"/>
    </row>
    <row r="429">
      <c r="A429" s="13" t="s">
        <v>11</v>
      </c>
      <c r="B429" s="9" t="str">
        <f>IFERROR(__xludf.DUMMYFUNCTION("""COMPUTED_VALUE"""),"林O揚")</f>
        <v>林O揚</v>
      </c>
      <c r="C429" s="9" t="str">
        <f>IFERROR(__xludf.DUMMYFUNCTION("""COMPUTED_VALUE"""),"kf2*****@kfsh.hc.edu.tw")</f>
        <v>kf2*****@kfsh.hc.edu.tw</v>
      </c>
      <c r="D429" s="9" t="str">
        <f>IFERROR(__xludf.DUMMYFUNCTION("""COMPUTED_VALUE"""),"新竹市私立光復高級中學")</f>
        <v>新竹市私立光復高級中學</v>
      </c>
      <c r="E429" s="9" t="str">
        <f>IFERROR(__xludf.DUMMYFUNCTION("""COMPUTED_VALUE"""),"應英科")</f>
        <v>應英科</v>
      </c>
      <c r="F429" s="9" t="str">
        <f>IFERROR(__xludf.DUMMYFUNCTION("""COMPUTED_VALUE"""),"三年級")</f>
        <v>三年級</v>
      </c>
      <c r="G429" s="9" t="str">
        <f>IFERROR(__xludf.DUMMYFUNCTION("""COMPUTED_VALUE"""),"獎狀")</f>
        <v>獎狀</v>
      </c>
      <c r="H429" s="9"/>
    </row>
    <row r="430">
      <c r="A430" s="13" t="s">
        <v>11</v>
      </c>
      <c r="B430" s="9" t="str">
        <f>IFERROR(__xludf.DUMMYFUNCTION("""COMPUTED_VALUE"""),"傅O勤")</f>
        <v>傅O勤</v>
      </c>
      <c r="C430" s="9" t="str">
        <f>IFERROR(__xludf.DUMMYFUNCTION("""COMPUTED_VALUE"""),"kf2*****@kfsh.hc.edu.tw")</f>
        <v>kf2*****@kfsh.hc.edu.tw</v>
      </c>
      <c r="D430" s="9" t="str">
        <f>IFERROR(__xludf.DUMMYFUNCTION("""COMPUTED_VALUE"""),"新竹市私立光復高級中學")</f>
        <v>新竹市私立光復高級中學</v>
      </c>
      <c r="E430" s="9" t="str">
        <f>IFERROR(__xludf.DUMMYFUNCTION("""COMPUTED_VALUE"""),"應英科")</f>
        <v>應英科</v>
      </c>
      <c r="F430" s="9" t="str">
        <f>IFERROR(__xludf.DUMMYFUNCTION("""COMPUTED_VALUE"""),"三年級")</f>
        <v>三年級</v>
      </c>
      <c r="G430" s="9" t="str">
        <f>IFERROR(__xludf.DUMMYFUNCTION("""COMPUTED_VALUE"""),"■商品卡$200")</f>
        <v>■商品卡$200</v>
      </c>
      <c r="H430" s="9"/>
    </row>
    <row r="431">
      <c r="A431" s="13" t="s">
        <v>11</v>
      </c>
      <c r="B431" s="9" t="str">
        <f>IFERROR(__xludf.DUMMYFUNCTION("""COMPUTED_VALUE"""),"陳O卉")</f>
        <v>陳O卉</v>
      </c>
      <c r="C431" s="9" t="str">
        <f>IFERROR(__xludf.DUMMYFUNCTION("""COMPUTED_VALUE"""),"kf2*****@kfsh.hc.edu.tw")</f>
        <v>kf2*****@kfsh.hc.edu.tw</v>
      </c>
      <c r="D431" s="9" t="str">
        <f>IFERROR(__xludf.DUMMYFUNCTION("""COMPUTED_VALUE"""),"新竹市私立光復高級中學")</f>
        <v>新竹市私立光復高級中學</v>
      </c>
      <c r="E431" s="9" t="str">
        <f>IFERROR(__xludf.DUMMYFUNCTION("""COMPUTED_VALUE"""),"應英科")</f>
        <v>應英科</v>
      </c>
      <c r="F431" s="9" t="str">
        <f>IFERROR(__xludf.DUMMYFUNCTION("""COMPUTED_VALUE"""),"三年級")</f>
        <v>三年級</v>
      </c>
      <c r="G431" s="9" t="str">
        <f>IFERROR(__xludf.DUMMYFUNCTION("""COMPUTED_VALUE"""),"獎狀")</f>
        <v>獎狀</v>
      </c>
      <c r="H431" s="9"/>
    </row>
    <row r="432">
      <c r="A432" s="13" t="s">
        <v>11</v>
      </c>
      <c r="B432" s="9" t="str">
        <f>IFERROR(__xludf.DUMMYFUNCTION("""COMPUTED_VALUE"""),"王O芸")</f>
        <v>王O芸</v>
      </c>
      <c r="C432" s="9" t="str">
        <f>IFERROR(__xludf.DUMMYFUNCTION("""COMPUTED_VALUE"""),"kf2*****@kfsh.hc.edu.tw")</f>
        <v>kf2*****@kfsh.hc.edu.tw</v>
      </c>
      <c r="D432" s="9" t="str">
        <f>IFERROR(__xludf.DUMMYFUNCTION("""COMPUTED_VALUE"""),"新竹市私立光復高級中學")</f>
        <v>新竹市私立光復高級中學</v>
      </c>
      <c r="E432" s="9" t="str">
        <f>IFERROR(__xludf.DUMMYFUNCTION("""COMPUTED_VALUE"""),"應英科")</f>
        <v>應英科</v>
      </c>
      <c r="F432" s="9" t="str">
        <f>IFERROR(__xludf.DUMMYFUNCTION("""COMPUTED_VALUE"""),"三年級")</f>
        <v>三年級</v>
      </c>
      <c r="G432" s="9" t="str">
        <f>IFERROR(__xludf.DUMMYFUNCTION("""COMPUTED_VALUE"""),"獎狀")</f>
        <v>獎狀</v>
      </c>
      <c r="H432" s="9"/>
    </row>
    <row r="433">
      <c r="A433" s="13" t="s">
        <v>11</v>
      </c>
      <c r="B433" s="9" t="str">
        <f>IFERROR(__xludf.DUMMYFUNCTION("""COMPUTED_VALUE"""),"廖O萱")</f>
        <v>廖O萱</v>
      </c>
      <c r="C433" s="9" t="str">
        <f>IFERROR(__xludf.DUMMYFUNCTION("""COMPUTED_VALUE"""),"kf2*****@kfsh.hc.edu.tw")</f>
        <v>kf2*****@kfsh.hc.edu.tw</v>
      </c>
      <c r="D433" s="9" t="str">
        <f>IFERROR(__xludf.DUMMYFUNCTION("""COMPUTED_VALUE"""),"新竹市私立光復高級中學")</f>
        <v>新竹市私立光復高級中學</v>
      </c>
      <c r="E433" s="9" t="str">
        <f>IFERROR(__xludf.DUMMYFUNCTION("""COMPUTED_VALUE"""),"應英科")</f>
        <v>應英科</v>
      </c>
      <c r="F433" s="9" t="str">
        <f>IFERROR(__xludf.DUMMYFUNCTION("""COMPUTED_VALUE"""),"三年級")</f>
        <v>三年級</v>
      </c>
      <c r="G433" s="9" t="str">
        <f>IFERROR(__xludf.DUMMYFUNCTION("""COMPUTED_VALUE"""),"獎狀")</f>
        <v>獎狀</v>
      </c>
      <c r="H433" s="9"/>
    </row>
    <row r="434">
      <c r="A434" s="13" t="s">
        <v>11</v>
      </c>
      <c r="B434" s="9" t="str">
        <f>IFERROR(__xludf.DUMMYFUNCTION("""COMPUTED_VALUE"""),"陳O媛")</f>
        <v>陳O媛</v>
      </c>
      <c r="C434" s="9" t="str">
        <f>IFERROR(__xludf.DUMMYFUNCTION("""COMPUTED_VALUE"""),"kf2*****@kfsh.hc.edu.tw")</f>
        <v>kf2*****@kfsh.hc.edu.tw</v>
      </c>
      <c r="D434" s="9" t="str">
        <f>IFERROR(__xludf.DUMMYFUNCTION("""COMPUTED_VALUE"""),"新竹市私立光復高級中學")</f>
        <v>新竹市私立光復高級中學</v>
      </c>
      <c r="E434" s="9" t="str">
        <f>IFERROR(__xludf.DUMMYFUNCTION("""COMPUTED_VALUE"""),"應英科")</f>
        <v>應英科</v>
      </c>
      <c r="F434" s="9" t="str">
        <f>IFERROR(__xludf.DUMMYFUNCTION("""COMPUTED_VALUE"""),"三年級")</f>
        <v>三年級</v>
      </c>
      <c r="G434" s="9" t="str">
        <f>IFERROR(__xludf.DUMMYFUNCTION("""COMPUTED_VALUE"""),"○商品卡$500")</f>
        <v>○商品卡$500</v>
      </c>
      <c r="H434" s="9"/>
    </row>
    <row r="435">
      <c r="A435" s="13" t="s">
        <v>11</v>
      </c>
      <c r="B435" s="9" t="str">
        <f>IFERROR(__xludf.DUMMYFUNCTION("""COMPUTED_VALUE"""),"徐O彥")</f>
        <v>徐O彥</v>
      </c>
      <c r="C435" s="9" t="str">
        <f>IFERROR(__xludf.DUMMYFUNCTION("""COMPUTED_VALUE"""),"kf2*****@kfsh.hc.edu.tw")</f>
        <v>kf2*****@kfsh.hc.edu.tw</v>
      </c>
      <c r="D435" s="9" t="str">
        <f>IFERROR(__xludf.DUMMYFUNCTION("""COMPUTED_VALUE"""),"新竹市私立光復高級中學")</f>
        <v>新竹市私立光復高級中學</v>
      </c>
      <c r="E435" s="9" t="str">
        <f>IFERROR(__xludf.DUMMYFUNCTION("""COMPUTED_VALUE"""),"應英科")</f>
        <v>應英科</v>
      </c>
      <c r="F435" s="9" t="str">
        <f>IFERROR(__xludf.DUMMYFUNCTION("""COMPUTED_VALUE"""),"三年級")</f>
        <v>三年級</v>
      </c>
      <c r="G435" s="9" t="str">
        <f>IFERROR(__xludf.DUMMYFUNCTION("""COMPUTED_VALUE"""),"獎狀")</f>
        <v>獎狀</v>
      </c>
      <c r="H435" s="9"/>
    </row>
    <row r="436">
      <c r="A436" s="13" t="s">
        <v>11</v>
      </c>
      <c r="B436" s="9" t="str">
        <f>IFERROR(__xludf.DUMMYFUNCTION("""COMPUTED_VALUE"""),"羅O睿")</f>
        <v>羅O睿</v>
      </c>
      <c r="C436" s="9" t="str">
        <f>IFERROR(__xludf.DUMMYFUNCTION("""COMPUTED_VALUE"""),"kf2*****@kfsh.hc.edu.tw")</f>
        <v>kf2*****@kfsh.hc.edu.tw</v>
      </c>
      <c r="D436" s="9" t="str">
        <f>IFERROR(__xludf.DUMMYFUNCTION("""COMPUTED_VALUE"""),"新竹市私立光復高級中學")</f>
        <v>新竹市私立光復高級中學</v>
      </c>
      <c r="E436" s="9" t="str">
        <f>IFERROR(__xludf.DUMMYFUNCTION("""COMPUTED_VALUE"""),"應英科")</f>
        <v>應英科</v>
      </c>
      <c r="F436" s="9" t="str">
        <f>IFERROR(__xludf.DUMMYFUNCTION("""COMPUTED_VALUE"""),"三年級")</f>
        <v>三年級</v>
      </c>
      <c r="G436" s="9" t="str">
        <f>IFERROR(__xludf.DUMMYFUNCTION("""COMPUTED_VALUE"""),"■商品卡$200")</f>
        <v>■商品卡$200</v>
      </c>
      <c r="H436" s="9"/>
    </row>
    <row r="437">
      <c r="A437" s="13" t="s">
        <v>11</v>
      </c>
      <c r="B437" s="9" t="str">
        <f>IFERROR(__xludf.DUMMYFUNCTION("""COMPUTED_VALUE"""),"陳O彤")</f>
        <v>陳O彤</v>
      </c>
      <c r="C437" s="9" t="str">
        <f>IFERROR(__xludf.DUMMYFUNCTION("""COMPUTED_VALUE"""),"kf2*****@kfsh.hc.edu.tw")</f>
        <v>kf2*****@kfsh.hc.edu.tw</v>
      </c>
      <c r="D437" s="9" t="str">
        <f>IFERROR(__xludf.DUMMYFUNCTION("""COMPUTED_VALUE"""),"新竹市私立光復高級中學")</f>
        <v>新竹市私立光復高級中學</v>
      </c>
      <c r="E437" s="9" t="str">
        <f>IFERROR(__xludf.DUMMYFUNCTION("""COMPUTED_VALUE"""),"應英科")</f>
        <v>應英科</v>
      </c>
      <c r="F437" s="9" t="str">
        <f>IFERROR(__xludf.DUMMYFUNCTION("""COMPUTED_VALUE"""),"三年級")</f>
        <v>三年級</v>
      </c>
      <c r="G437" s="9" t="str">
        <f>IFERROR(__xludf.DUMMYFUNCTION("""COMPUTED_VALUE"""),"獎狀")</f>
        <v>獎狀</v>
      </c>
      <c r="H437" s="9"/>
    </row>
    <row r="438">
      <c r="A438" s="13" t="s">
        <v>11</v>
      </c>
      <c r="B438" s="9" t="str">
        <f>IFERROR(__xludf.DUMMYFUNCTION("""COMPUTED_VALUE"""),"潘O瀅")</f>
        <v>潘O瀅</v>
      </c>
      <c r="C438" s="9" t="str">
        <f>IFERROR(__xludf.DUMMYFUNCTION("""COMPUTED_VALUE"""),"kf2*****@kfsh.hc.edu.tw")</f>
        <v>kf2*****@kfsh.hc.edu.tw</v>
      </c>
      <c r="D438" s="9" t="str">
        <f>IFERROR(__xludf.DUMMYFUNCTION("""COMPUTED_VALUE"""),"新竹市私立光復高級中學")</f>
        <v>新竹市私立光復高級中學</v>
      </c>
      <c r="E438" s="9" t="str">
        <f>IFERROR(__xludf.DUMMYFUNCTION("""COMPUTED_VALUE"""),"應英科")</f>
        <v>應英科</v>
      </c>
      <c r="F438" s="9" t="str">
        <f>IFERROR(__xludf.DUMMYFUNCTION("""COMPUTED_VALUE"""),"三年級")</f>
        <v>三年級</v>
      </c>
      <c r="G438" s="9" t="str">
        <f>IFERROR(__xludf.DUMMYFUNCTION("""COMPUTED_VALUE"""),"○商品卡$500")</f>
        <v>○商品卡$500</v>
      </c>
      <c r="H438" s="9"/>
    </row>
    <row r="439">
      <c r="A439" s="13" t="s">
        <v>11</v>
      </c>
      <c r="B439" s="9" t="str">
        <f>IFERROR(__xludf.DUMMYFUNCTION("""COMPUTED_VALUE"""),"謝O恩")</f>
        <v>謝O恩</v>
      </c>
      <c r="C439" s="9" t="str">
        <f>IFERROR(__xludf.DUMMYFUNCTION("""COMPUTED_VALUE"""),"kf2*****@kfsh.hc.edu.tw")</f>
        <v>kf2*****@kfsh.hc.edu.tw</v>
      </c>
      <c r="D439" s="9" t="str">
        <f>IFERROR(__xludf.DUMMYFUNCTION("""COMPUTED_VALUE"""),"新竹市私立光復高級中學")</f>
        <v>新竹市私立光復高級中學</v>
      </c>
      <c r="E439" s="9" t="str">
        <f>IFERROR(__xludf.DUMMYFUNCTION("""COMPUTED_VALUE"""),"應英科")</f>
        <v>應英科</v>
      </c>
      <c r="F439" s="9" t="str">
        <f>IFERROR(__xludf.DUMMYFUNCTION("""COMPUTED_VALUE"""),"三年級")</f>
        <v>三年級</v>
      </c>
      <c r="G439" s="9" t="str">
        <f>IFERROR(__xludf.DUMMYFUNCTION("""COMPUTED_VALUE"""),"獎狀")</f>
        <v>獎狀</v>
      </c>
      <c r="H439" s="9"/>
    </row>
    <row r="440">
      <c r="A440" s="13" t="s">
        <v>11</v>
      </c>
      <c r="B440" s="9" t="str">
        <f>IFERROR(__xludf.DUMMYFUNCTION("""COMPUTED_VALUE"""),"林O如")</f>
        <v>林O如</v>
      </c>
      <c r="C440" s="9" t="str">
        <f>IFERROR(__xludf.DUMMYFUNCTION("""COMPUTED_VALUE"""),"kf2*****@kfsh.hc.edu.tw")</f>
        <v>kf2*****@kfsh.hc.edu.tw</v>
      </c>
      <c r="D440" s="9" t="str">
        <f>IFERROR(__xludf.DUMMYFUNCTION("""COMPUTED_VALUE"""),"新竹市私立光復高級中學")</f>
        <v>新竹市私立光復高級中學</v>
      </c>
      <c r="E440" s="9" t="str">
        <f>IFERROR(__xludf.DUMMYFUNCTION("""COMPUTED_VALUE"""),"應英科")</f>
        <v>應英科</v>
      </c>
      <c r="F440" s="9" t="str">
        <f>IFERROR(__xludf.DUMMYFUNCTION("""COMPUTED_VALUE"""),"三年級")</f>
        <v>三年級</v>
      </c>
      <c r="G440" s="9" t="str">
        <f>IFERROR(__xludf.DUMMYFUNCTION("""COMPUTED_VALUE"""),"獎狀")</f>
        <v>獎狀</v>
      </c>
      <c r="H440" s="9"/>
    </row>
    <row r="441">
      <c r="A441" s="13" t="s">
        <v>11</v>
      </c>
      <c r="B441" s="9" t="str">
        <f>IFERROR(__xludf.DUMMYFUNCTION("""COMPUTED_VALUE"""),"曾O誼")</f>
        <v>曾O誼</v>
      </c>
      <c r="C441" s="9" t="str">
        <f>IFERROR(__xludf.DUMMYFUNCTION("""COMPUTED_VALUE"""),"kf2*****@kfsh.hc.edu.tw")</f>
        <v>kf2*****@kfsh.hc.edu.tw</v>
      </c>
      <c r="D441" s="9" t="str">
        <f>IFERROR(__xludf.DUMMYFUNCTION("""COMPUTED_VALUE"""),"新竹市私立光復高級中學")</f>
        <v>新竹市私立光復高級中學</v>
      </c>
      <c r="E441" s="9" t="str">
        <f>IFERROR(__xludf.DUMMYFUNCTION("""COMPUTED_VALUE"""),"應英科")</f>
        <v>應英科</v>
      </c>
      <c r="F441" s="9" t="str">
        <f>IFERROR(__xludf.DUMMYFUNCTION("""COMPUTED_VALUE"""),"三年級")</f>
        <v>三年級</v>
      </c>
      <c r="G441" s="9" t="str">
        <f>IFERROR(__xludf.DUMMYFUNCTION("""COMPUTED_VALUE"""),"獎狀")</f>
        <v>獎狀</v>
      </c>
      <c r="H441" s="9"/>
    </row>
    <row r="442">
      <c r="A442" s="13" t="s">
        <v>11</v>
      </c>
      <c r="B442" s="9" t="str">
        <f>IFERROR(__xludf.DUMMYFUNCTION("""COMPUTED_VALUE"""),"陳O云")</f>
        <v>陳O云</v>
      </c>
      <c r="C442" s="9" t="str">
        <f>IFERROR(__xludf.DUMMYFUNCTION("""COMPUTED_VALUE"""),"kf2*****@kfsh.hc.edu.tw")</f>
        <v>kf2*****@kfsh.hc.edu.tw</v>
      </c>
      <c r="D442" s="9" t="str">
        <f>IFERROR(__xludf.DUMMYFUNCTION("""COMPUTED_VALUE"""),"新竹市私立光復高級中學")</f>
        <v>新竹市私立光復高級中學</v>
      </c>
      <c r="E442" s="9" t="str">
        <f>IFERROR(__xludf.DUMMYFUNCTION("""COMPUTED_VALUE"""),"應英科")</f>
        <v>應英科</v>
      </c>
      <c r="F442" s="9" t="str">
        <f>IFERROR(__xludf.DUMMYFUNCTION("""COMPUTED_VALUE"""),"三年級")</f>
        <v>三年級</v>
      </c>
      <c r="G442" s="9" t="str">
        <f>IFERROR(__xludf.DUMMYFUNCTION("""COMPUTED_VALUE"""),"獎狀")</f>
        <v>獎狀</v>
      </c>
      <c r="H442" s="9"/>
    </row>
    <row r="443">
      <c r="A443" s="13" t="s">
        <v>11</v>
      </c>
      <c r="B443" s="9" t="str">
        <f>IFERROR(__xludf.DUMMYFUNCTION("""COMPUTED_VALUE"""),"林O晨")</f>
        <v>林O晨</v>
      </c>
      <c r="C443" s="9" t="str">
        <f>IFERROR(__xludf.DUMMYFUNCTION("""COMPUTED_VALUE"""),"kf2*****@kfsh.hc.edu.tw")</f>
        <v>kf2*****@kfsh.hc.edu.tw</v>
      </c>
      <c r="D443" s="9" t="str">
        <f>IFERROR(__xludf.DUMMYFUNCTION("""COMPUTED_VALUE"""),"新竹市私立光復高級中學")</f>
        <v>新竹市私立光復高級中學</v>
      </c>
      <c r="E443" s="9" t="str">
        <f>IFERROR(__xludf.DUMMYFUNCTION("""COMPUTED_VALUE"""),"應英科")</f>
        <v>應英科</v>
      </c>
      <c r="F443" s="9" t="str">
        <f>IFERROR(__xludf.DUMMYFUNCTION("""COMPUTED_VALUE"""),"三年級")</f>
        <v>三年級</v>
      </c>
      <c r="G443" s="9" t="str">
        <f>IFERROR(__xludf.DUMMYFUNCTION("""COMPUTED_VALUE"""),"獎狀")</f>
        <v>獎狀</v>
      </c>
      <c r="H443" s="9"/>
    </row>
    <row r="444">
      <c r="A444" s="13" t="s">
        <v>11</v>
      </c>
      <c r="B444" s="9" t="str">
        <f>IFERROR(__xludf.DUMMYFUNCTION("""COMPUTED_VALUE"""),"許O柔")</f>
        <v>許O柔</v>
      </c>
      <c r="C444" s="9" t="str">
        <f>IFERROR(__xludf.DUMMYFUNCTION("""COMPUTED_VALUE"""),"kf2*****@kfsh.hc.edu.tw")</f>
        <v>kf2*****@kfsh.hc.edu.tw</v>
      </c>
      <c r="D444" s="9" t="str">
        <f>IFERROR(__xludf.DUMMYFUNCTION("""COMPUTED_VALUE"""),"新竹市私立光復高級中學")</f>
        <v>新竹市私立光復高級中學</v>
      </c>
      <c r="E444" s="9" t="str">
        <f>IFERROR(__xludf.DUMMYFUNCTION("""COMPUTED_VALUE"""),"應英科")</f>
        <v>應英科</v>
      </c>
      <c r="F444" s="9" t="str">
        <f>IFERROR(__xludf.DUMMYFUNCTION("""COMPUTED_VALUE"""),"三年級")</f>
        <v>三年級</v>
      </c>
      <c r="G444" s="9" t="str">
        <f>IFERROR(__xludf.DUMMYFUNCTION("""COMPUTED_VALUE"""),"獎狀")</f>
        <v>獎狀</v>
      </c>
      <c r="H444" s="9"/>
    </row>
    <row r="445">
      <c r="A445" s="13" t="s">
        <v>11</v>
      </c>
      <c r="B445" s="9" t="str">
        <f>IFERROR(__xludf.DUMMYFUNCTION("""COMPUTED_VALUE"""),"黃O瑄")</f>
        <v>黃O瑄</v>
      </c>
      <c r="C445" s="9" t="str">
        <f>IFERROR(__xludf.DUMMYFUNCTION("""COMPUTED_VALUE"""),"kf2*****@kfsh.hc.edu.tw")</f>
        <v>kf2*****@kfsh.hc.edu.tw</v>
      </c>
      <c r="D445" s="9" t="str">
        <f>IFERROR(__xludf.DUMMYFUNCTION("""COMPUTED_VALUE"""),"新竹市私立光復高級中學")</f>
        <v>新竹市私立光復高級中學</v>
      </c>
      <c r="E445" s="9" t="str">
        <f>IFERROR(__xludf.DUMMYFUNCTION("""COMPUTED_VALUE"""),"應英科")</f>
        <v>應英科</v>
      </c>
      <c r="F445" s="9" t="str">
        <f>IFERROR(__xludf.DUMMYFUNCTION("""COMPUTED_VALUE"""),"三年級")</f>
        <v>三年級</v>
      </c>
      <c r="G445" s="9" t="str">
        <f>IFERROR(__xludf.DUMMYFUNCTION("""COMPUTED_VALUE"""),"獎狀")</f>
        <v>獎狀</v>
      </c>
      <c r="H445" s="9"/>
    </row>
    <row r="446">
      <c r="A446" s="13" t="s">
        <v>11</v>
      </c>
      <c r="B446" s="9" t="str">
        <f>IFERROR(__xludf.DUMMYFUNCTION("""COMPUTED_VALUE"""),"邱O釉")</f>
        <v>邱O釉</v>
      </c>
      <c r="C446" s="9" t="str">
        <f>IFERROR(__xludf.DUMMYFUNCTION("""COMPUTED_VALUE"""),"kf2*****@kfsh.hc.edu.tw")</f>
        <v>kf2*****@kfsh.hc.edu.tw</v>
      </c>
      <c r="D446" s="9" t="str">
        <f>IFERROR(__xludf.DUMMYFUNCTION("""COMPUTED_VALUE"""),"新竹市私立光復高級中學")</f>
        <v>新竹市私立光復高級中學</v>
      </c>
      <c r="E446" s="9" t="str">
        <f>IFERROR(__xludf.DUMMYFUNCTION("""COMPUTED_VALUE"""),"應英科")</f>
        <v>應英科</v>
      </c>
      <c r="F446" s="9" t="str">
        <f>IFERROR(__xludf.DUMMYFUNCTION("""COMPUTED_VALUE"""),"三年級")</f>
        <v>三年級</v>
      </c>
      <c r="G446" s="9" t="str">
        <f>IFERROR(__xludf.DUMMYFUNCTION("""COMPUTED_VALUE"""),"獎狀")</f>
        <v>獎狀</v>
      </c>
      <c r="H446" s="9"/>
    </row>
    <row r="447">
      <c r="A447" s="13" t="s">
        <v>11</v>
      </c>
      <c r="B447" s="9" t="str">
        <f>IFERROR(__xludf.DUMMYFUNCTION("""COMPUTED_VALUE"""),"吳O妤")</f>
        <v>吳O妤</v>
      </c>
      <c r="C447" s="9" t="str">
        <f>IFERROR(__xludf.DUMMYFUNCTION("""COMPUTED_VALUE"""),"kf2*****@kfsh.hc.edu.tw")</f>
        <v>kf2*****@kfsh.hc.edu.tw</v>
      </c>
      <c r="D447" s="9" t="str">
        <f>IFERROR(__xludf.DUMMYFUNCTION("""COMPUTED_VALUE"""),"新竹市私立光復高級中學")</f>
        <v>新竹市私立光復高級中學</v>
      </c>
      <c r="E447" s="9" t="str">
        <f>IFERROR(__xludf.DUMMYFUNCTION("""COMPUTED_VALUE"""),"應英科")</f>
        <v>應英科</v>
      </c>
      <c r="F447" s="9" t="str">
        <f>IFERROR(__xludf.DUMMYFUNCTION("""COMPUTED_VALUE"""),"三年級")</f>
        <v>三年級</v>
      </c>
      <c r="G447" s="9" t="str">
        <f>IFERROR(__xludf.DUMMYFUNCTION("""COMPUTED_VALUE"""),"獎狀")</f>
        <v>獎狀</v>
      </c>
      <c r="H447" s="9"/>
    </row>
    <row r="448">
      <c r="A448" s="13" t="s">
        <v>11</v>
      </c>
      <c r="B448" s="9" t="str">
        <f>IFERROR(__xludf.DUMMYFUNCTION("""COMPUTED_VALUE"""),"李O星")</f>
        <v>李O星</v>
      </c>
      <c r="C448" s="9" t="str">
        <f>IFERROR(__xludf.DUMMYFUNCTION("""COMPUTED_VALUE"""),"kf2*****@kfsh.hc.edu.tw")</f>
        <v>kf2*****@kfsh.hc.edu.tw</v>
      </c>
      <c r="D448" s="9" t="str">
        <f>IFERROR(__xludf.DUMMYFUNCTION("""COMPUTED_VALUE"""),"新竹市私立光復高級中學")</f>
        <v>新竹市私立光復高級中學</v>
      </c>
      <c r="E448" s="9" t="str">
        <f>IFERROR(__xludf.DUMMYFUNCTION("""COMPUTED_VALUE"""),"應英科")</f>
        <v>應英科</v>
      </c>
      <c r="F448" s="9" t="str">
        <f>IFERROR(__xludf.DUMMYFUNCTION("""COMPUTED_VALUE"""),"三年級")</f>
        <v>三年級</v>
      </c>
      <c r="G448" s="9" t="str">
        <f>IFERROR(__xludf.DUMMYFUNCTION("""COMPUTED_VALUE"""),"獎狀")</f>
        <v>獎狀</v>
      </c>
      <c r="H448" s="9"/>
    </row>
    <row r="449">
      <c r="A449" s="13" t="s">
        <v>11</v>
      </c>
      <c r="B449" s="9" t="str">
        <f>IFERROR(__xludf.DUMMYFUNCTION("""COMPUTED_VALUE"""),"廖O晟")</f>
        <v>廖O晟</v>
      </c>
      <c r="C449" s="9" t="str">
        <f>IFERROR(__xludf.DUMMYFUNCTION("""COMPUTED_VALUE"""),"kf2*****@kfsh.hc.edu.tw")</f>
        <v>kf2*****@kfsh.hc.edu.tw</v>
      </c>
      <c r="D449" s="9" t="str">
        <f>IFERROR(__xludf.DUMMYFUNCTION("""COMPUTED_VALUE"""),"新竹市私立光復高級中學")</f>
        <v>新竹市私立光復高級中學</v>
      </c>
      <c r="E449" s="9" t="str">
        <f>IFERROR(__xludf.DUMMYFUNCTION("""COMPUTED_VALUE"""),"應英科")</f>
        <v>應英科</v>
      </c>
      <c r="F449" s="9" t="str">
        <f>IFERROR(__xludf.DUMMYFUNCTION("""COMPUTED_VALUE"""),"三年級")</f>
        <v>三年級</v>
      </c>
      <c r="G449" s="9" t="str">
        <f>IFERROR(__xludf.DUMMYFUNCTION("""COMPUTED_VALUE"""),"獎狀")</f>
        <v>獎狀</v>
      </c>
      <c r="H449" s="9"/>
    </row>
    <row r="450">
      <c r="A450" s="13" t="s">
        <v>11</v>
      </c>
      <c r="B450" s="9" t="str">
        <f>IFERROR(__xludf.DUMMYFUNCTION("""COMPUTED_VALUE"""),"謝O鈞")</f>
        <v>謝O鈞</v>
      </c>
      <c r="C450" s="9" t="str">
        <f>IFERROR(__xludf.DUMMYFUNCTION("""COMPUTED_VALUE"""),"kf2*****@kfsh.hc.edu.tw")</f>
        <v>kf2*****@kfsh.hc.edu.tw</v>
      </c>
      <c r="D450" s="9" t="str">
        <f>IFERROR(__xludf.DUMMYFUNCTION("""COMPUTED_VALUE"""),"新竹市私立光復高級中學")</f>
        <v>新竹市私立光復高級中學</v>
      </c>
      <c r="E450" s="9" t="str">
        <f>IFERROR(__xludf.DUMMYFUNCTION("""COMPUTED_VALUE"""),"應英科")</f>
        <v>應英科</v>
      </c>
      <c r="F450" s="9" t="str">
        <f>IFERROR(__xludf.DUMMYFUNCTION("""COMPUTED_VALUE"""),"三年級")</f>
        <v>三年級</v>
      </c>
      <c r="G450" s="9" t="str">
        <f>IFERROR(__xludf.DUMMYFUNCTION("""COMPUTED_VALUE"""),"獎狀")</f>
        <v>獎狀</v>
      </c>
      <c r="H450" s="9"/>
    </row>
    <row r="451">
      <c r="A451" s="13" t="s">
        <v>11</v>
      </c>
      <c r="B451" s="9" t="str">
        <f>IFERROR(__xludf.DUMMYFUNCTION("""COMPUTED_VALUE"""),"陳O辰")</f>
        <v>陳O辰</v>
      </c>
      <c r="C451" s="9" t="str">
        <f>IFERROR(__xludf.DUMMYFUNCTION("""COMPUTED_VALUE"""),"kf2*****@kfsh.hc.edu.tw")</f>
        <v>kf2*****@kfsh.hc.edu.tw</v>
      </c>
      <c r="D451" s="9" t="str">
        <f>IFERROR(__xludf.DUMMYFUNCTION("""COMPUTED_VALUE"""),"新竹市私立光復高級中學")</f>
        <v>新竹市私立光復高級中學</v>
      </c>
      <c r="E451" s="9" t="str">
        <f>IFERROR(__xludf.DUMMYFUNCTION("""COMPUTED_VALUE"""),"應英科")</f>
        <v>應英科</v>
      </c>
      <c r="F451" s="9" t="str">
        <f>IFERROR(__xludf.DUMMYFUNCTION("""COMPUTED_VALUE"""),"三年級")</f>
        <v>三年級</v>
      </c>
      <c r="G451" s="9" t="str">
        <f>IFERROR(__xludf.DUMMYFUNCTION("""COMPUTED_VALUE"""),"獎狀")</f>
        <v>獎狀</v>
      </c>
      <c r="H451" s="9"/>
    </row>
    <row r="452">
      <c r="A452" s="13" t="s">
        <v>11</v>
      </c>
      <c r="B452" s="9" t="str">
        <f>IFERROR(__xludf.DUMMYFUNCTION("""COMPUTED_VALUE"""),"林O姍")</f>
        <v>林O姍</v>
      </c>
      <c r="C452" s="9" t="str">
        <f>IFERROR(__xludf.DUMMYFUNCTION("""COMPUTED_VALUE"""),"kf2*****@kfsh.hc.edu.tw")</f>
        <v>kf2*****@kfsh.hc.edu.tw</v>
      </c>
      <c r="D452" s="9" t="str">
        <f>IFERROR(__xludf.DUMMYFUNCTION("""COMPUTED_VALUE"""),"新竹市私立光復高級中學")</f>
        <v>新竹市私立光復高級中學</v>
      </c>
      <c r="E452" s="9" t="str">
        <f>IFERROR(__xludf.DUMMYFUNCTION("""COMPUTED_VALUE"""),"應英科")</f>
        <v>應英科</v>
      </c>
      <c r="F452" s="9" t="str">
        <f>IFERROR(__xludf.DUMMYFUNCTION("""COMPUTED_VALUE"""),"三年級")</f>
        <v>三年級</v>
      </c>
      <c r="G452" s="9" t="str">
        <f>IFERROR(__xludf.DUMMYFUNCTION("""COMPUTED_VALUE"""),"獎狀")</f>
        <v>獎狀</v>
      </c>
      <c r="H452" s="9"/>
    </row>
    <row r="453">
      <c r="A453" s="13" t="s">
        <v>11</v>
      </c>
      <c r="B453" s="9" t="str">
        <f>IFERROR(__xludf.DUMMYFUNCTION("""COMPUTED_VALUE"""),"林O軒")</f>
        <v>林O軒</v>
      </c>
      <c r="C453" s="9" t="str">
        <f>IFERROR(__xludf.DUMMYFUNCTION("""COMPUTED_VALUE"""),"kf2*****@kfsh.hc.edu.tw")</f>
        <v>kf2*****@kfsh.hc.edu.tw</v>
      </c>
      <c r="D453" s="9" t="str">
        <f>IFERROR(__xludf.DUMMYFUNCTION("""COMPUTED_VALUE"""),"新竹市私立光復高級中學")</f>
        <v>新竹市私立光復高級中學</v>
      </c>
      <c r="E453" s="9" t="str">
        <f>IFERROR(__xludf.DUMMYFUNCTION("""COMPUTED_VALUE"""),"應英科")</f>
        <v>應英科</v>
      </c>
      <c r="F453" s="9" t="str">
        <f>IFERROR(__xludf.DUMMYFUNCTION("""COMPUTED_VALUE"""),"三年級")</f>
        <v>三年級</v>
      </c>
      <c r="G453" s="9" t="str">
        <f>IFERROR(__xludf.DUMMYFUNCTION("""COMPUTED_VALUE"""),"獎狀")</f>
        <v>獎狀</v>
      </c>
      <c r="H453" s="9"/>
    </row>
    <row r="454">
      <c r="A454" s="13" t="s">
        <v>11</v>
      </c>
      <c r="B454" s="9" t="str">
        <f>IFERROR(__xludf.DUMMYFUNCTION("""COMPUTED_VALUE"""),"蔡O嫻")</f>
        <v>蔡O嫻</v>
      </c>
      <c r="C454" s="9" t="str">
        <f>IFERROR(__xludf.DUMMYFUNCTION("""COMPUTED_VALUE"""),"kf2*****@kfsh.hc.edu.tw")</f>
        <v>kf2*****@kfsh.hc.edu.tw</v>
      </c>
      <c r="D454" s="9" t="str">
        <f>IFERROR(__xludf.DUMMYFUNCTION("""COMPUTED_VALUE"""),"新竹市私立光復高級中學")</f>
        <v>新竹市私立光復高級中學</v>
      </c>
      <c r="E454" s="9" t="str">
        <f>IFERROR(__xludf.DUMMYFUNCTION("""COMPUTED_VALUE"""),"應英科")</f>
        <v>應英科</v>
      </c>
      <c r="F454" s="9" t="str">
        <f>IFERROR(__xludf.DUMMYFUNCTION("""COMPUTED_VALUE"""),"三年級")</f>
        <v>三年級</v>
      </c>
      <c r="G454" s="9" t="str">
        <f>IFERROR(__xludf.DUMMYFUNCTION("""COMPUTED_VALUE"""),"獎狀")</f>
        <v>獎狀</v>
      </c>
      <c r="H454" s="9"/>
    </row>
    <row r="455">
      <c r="A455" s="13" t="s">
        <v>11</v>
      </c>
      <c r="B455" s="9" t="str">
        <f>IFERROR(__xludf.DUMMYFUNCTION("""COMPUTED_VALUE"""),"陳O儒")</f>
        <v>陳O儒</v>
      </c>
      <c r="C455" s="9" t="str">
        <f>IFERROR(__xludf.DUMMYFUNCTION("""COMPUTED_VALUE"""),"kf2*****@kfsh.hc.edu.tw")</f>
        <v>kf2*****@kfsh.hc.edu.tw</v>
      </c>
      <c r="D455" s="9" t="str">
        <f>IFERROR(__xludf.DUMMYFUNCTION("""COMPUTED_VALUE"""),"新竹市私立光復高級中學")</f>
        <v>新竹市私立光復高級中學</v>
      </c>
      <c r="E455" s="9" t="str">
        <f>IFERROR(__xludf.DUMMYFUNCTION("""COMPUTED_VALUE"""),"應英科")</f>
        <v>應英科</v>
      </c>
      <c r="F455" s="9" t="str">
        <f>IFERROR(__xludf.DUMMYFUNCTION("""COMPUTED_VALUE"""),"三年級")</f>
        <v>三年級</v>
      </c>
      <c r="G455" s="9" t="str">
        <f>IFERROR(__xludf.DUMMYFUNCTION("""COMPUTED_VALUE"""),"獎狀")</f>
        <v>獎狀</v>
      </c>
      <c r="H455" s="9"/>
    </row>
    <row r="456">
      <c r="A456" s="13" t="s">
        <v>11</v>
      </c>
      <c r="B456" s="9" t="str">
        <f>IFERROR(__xludf.DUMMYFUNCTION("""COMPUTED_VALUE"""),"戴O妤")</f>
        <v>戴O妤</v>
      </c>
      <c r="C456" s="9" t="str">
        <f>IFERROR(__xludf.DUMMYFUNCTION("""COMPUTED_VALUE"""),"kf2*****@kfsh.hc.edu.tw")</f>
        <v>kf2*****@kfsh.hc.edu.tw</v>
      </c>
      <c r="D456" s="9" t="str">
        <f>IFERROR(__xludf.DUMMYFUNCTION("""COMPUTED_VALUE"""),"新竹市私立光復高級中學")</f>
        <v>新竹市私立光復高級中學</v>
      </c>
      <c r="E456" s="9" t="str">
        <f>IFERROR(__xludf.DUMMYFUNCTION("""COMPUTED_VALUE"""),"應英科")</f>
        <v>應英科</v>
      </c>
      <c r="F456" s="9" t="str">
        <f>IFERROR(__xludf.DUMMYFUNCTION("""COMPUTED_VALUE"""),"三年級")</f>
        <v>三年級</v>
      </c>
      <c r="G456" s="9" t="str">
        <f>IFERROR(__xludf.DUMMYFUNCTION("""COMPUTED_VALUE"""),"獎狀")</f>
        <v>獎狀</v>
      </c>
      <c r="H456" s="9"/>
    </row>
    <row r="457">
      <c r="A457" s="13" t="s">
        <v>11</v>
      </c>
      <c r="B457" s="9" t="str">
        <f>IFERROR(__xludf.DUMMYFUNCTION("""COMPUTED_VALUE"""),"劉O鑫")</f>
        <v>劉O鑫</v>
      </c>
      <c r="C457" s="9" t="str">
        <f>IFERROR(__xludf.DUMMYFUNCTION("""COMPUTED_VALUE"""),"kf2*****@kfsh.hc.edu.tw")</f>
        <v>kf2*****@kfsh.hc.edu.tw</v>
      </c>
      <c r="D457" s="9" t="str">
        <f>IFERROR(__xludf.DUMMYFUNCTION("""COMPUTED_VALUE"""),"新竹市私立光復高級中學")</f>
        <v>新竹市私立光復高級中學</v>
      </c>
      <c r="E457" s="9" t="str">
        <f>IFERROR(__xludf.DUMMYFUNCTION("""COMPUTED_VALUE"""),"應英科")</f>
        <v>應英科</v>
      </c>
      <c r="F457" s="9" t="str">
        <f>IFERROR(__xludf.DUMMYFUNCTION("""COMPUTED_VALUE"""),"三年級")</f>
        <v>三年級</v>
      </c>
      <c r="G457" s="9" t="str">
        <f>IFERROR(__xludf.DUMMYFUNCTION("""COMPUTED_VALUE"""),"獎狀")</f>
        <v>獎狀</v>
      </c>
      <c r="H457" s="9"/>
    </row>
    <row r="458">
      <c r="A458" s="13" t="s">
        <v>11</v>
      </c>
      <c r="B458" s="9" t="str">
        <f>IFERROR(__xludf.DUMMYFUNCTION("""COMPUTED_VALUE"""),"王O玄")</f>
        <v>王O玄</v>
      </c>
      <c r="C458" s="9" t="str">
        <f>IFERROR(__xludf.DUMMYFUNCTION("""COMPUTED_VALUE"""),"s21*****gm.hccvs.hc.edu.tw")</f>
        <v>s21*****gm.hccvs.hc.edu.tw</v>
      </c>
      <c r="D458" s="9" t="str">
        <f>IFERROR(__xludf.DUMMYFUNCTION("""COMPUTED_VALUE"""),"國立新竹高級商業職業學校")</f>
        <v>國立新竹高級商業職業學校</v>
      </c>
      <c r="E458" s="9" t="str">
        <f>IFERROR(__xludf.DUMMYFUNCTION("""COMPUTED_VALUE"""),"國貿科")</f>
        <v>國貿科</v>
      </c>
      <c r="F458" s="9" t="str">
        <f>IFERROR(__xludf.DUMMYFUNCTION("""COMPUTED_VALUE"""),"三年級")</f>
        <v>三年級</v>
      </c>
      <c r="G458" s="9" t="str">
        <f>IFERROR(__xludf.DUMMYFUNCTION("""COMPUTED_VALUE"""),"獎狀")</f>
        <v>獎狀</v>
      </c>
      <c r="H458" s="9"/>
    </row>
    <row r="459">
      <c r="A459" s="13" t="s">
        <v>11</v>
      </c>
      <c r="B459" s="9" t="str">
        <f>IFERROR(__xludf.DUMMYFUNCTION("""COMPUTED_VALUE"""),"林O家")</f>
        <v>林O家</v>
      </c>
      <c r="C459" s="9" t="str">
        <f>IFERROR(__xludf.DUMMYFUNCTION("""COMPUTED_VALUE"""),"s31*****gm.hccvs.hc.edu.tw")</f>
        <v>s31*****gm.hccvs.hc.edu.tw</v>
      </c>
      <c r="D459" s="9" t="str">
        <f>IFERROR(__xludf.DUMMYFUNCTION("""COMPUTED_VALUE"""),"國立新竹高級商業職業學校")</f>
        <v>國立新竹高級商業職業學校</v>
      </c>
      <c r="E459" s="9" t="str">
        <f>IFERROR(__xludf.DUMMYFUNCTION("""COMPUTED_VALUE"""),"應英科")</f>
        <v>應英科</v>
      </c>
      <c r="F459" s="9" t="str">
        <f>IFERROR(__xludf.DUMMYFUNCTION("""COMPUTED_VALUE"""),"二年級")</f>
        <v>二年級</v>
      </c>
      <c r="G459" s="9" t="str">
        <f>IFERROR(__xludf.DUMMYFUNCTION("""COMPUTED_VALUE"""),"獎狀")</f>
        <v>獎狀</v>
      </c>
      <c r="H459" s="9"/>
    </row>
    <row r="460">
      <c r="A460" s="13" t="s">
        <v>11</v>
      </c>
      <c r="B460" s="9" t="str">
        <f>IFERROR(__xludf.DUMMYFUNCTION("""COMPUTED_VALUE"""),"郭O岑")</f>
        <v>郭O岑</v>
      </c>
      <c r="C460" s="9" t="str">
        <f>IFERROR(__xludf.DUMMYFUNCTION("""COMPUTED_VALUE"""),"ali*****0730@gmail.com")</f>
        <v>ali*****0730@gmail.com</v>
      </c>
      <c r="D460" s="9" t="str">
        <f>IFERROR(__xludf.DUMMYFUNCTION("""COMPUTED_VALUE"""),"內思學校財團法人新竹縣內思工業高級中等學校")</f>
        <v>內思學校財團法人新竹縣內思工業高級中等學校</v>
      </c>
      <c r="E460" s="9" t="str">
        <f>IFERROR(__xludf.DUMMYFUNCTION("""COMPUTED_VALUE"""),"電機科")</f>
        <v>電機科</v>
      </c>
      <c r="F460" s="9" t="str">
        <f>IFERROR(__xludf.DUMMYFUNCTION("""COMPUTED_VALUE"""),"二年級")</f>
        <v>二年級</v>
      </c>
      <c r="G460" s="9" t="str">
        <f>IFERROR(__xludf.DUMMYFUNCTION("""COMPUTED_VALUE"""),"獎狀")</f>
        <v>獎狀</v>
      </c>
      <c r="H460" s="9"/>
    </row>
    <row r="461">
      <c r="A461" s="13" t="s">
        <v>11</v>
      </c>
      <c r="B461" s="9" t="str">
        <f>IFERROR(__xludf.DUMMYFUNCTION("""COMPUTED_VALUE"""),"陳O柔")</f>
        <v>陳O柔</v>
      </c>
      <c r="C461" s="9" t="str">
        <f>IFERROR(__xludf.DUMMYFUNCTION("""COMPUTED_VALUE"""),"st2*****@khvs.hcc.edu.tw")</f>
        <v>st2*****@khvs.hcc.edu.tw</v>
      </c>
      <c r="D461" s="9" t="str">
        <f>IFERROR(__xludf.DUMMYFUNCTION("""COMPUTED_VALUE"""),"國立關西高級中學")</f>
        <v>國立關西高級中學</v>
      </c>
      <c r="E461" s="9" t="str">
        <f>IFERROR(__xludf.DUMMYFUNCTION("""COMPUTED_VALUE"""),"畜產保健科")</f>
        <v>畜產保健科</v>
      </c>
      <c r="F461" s="9" t="str">
        <f>IFERROR(__xludf.DUMMYFUNCTION("""COMPUTED_VALUE"""),"三年級")</f>
        <v>三年級</v>
      </c>
      <c r="G461" s="9" t="str">
        <f>IFERROR(__xludf.DUMMYFUNCTION("""COMPUTED_VALUE"""),"獎狀")</f>
        <v>獎狀</v>
      </c>
      <c r="H461" s="9"/>
    </row>
    <row r="462">
      <c r="A462" s="13" t="s">
        <v>11</v>
      </c>
      <c r="B462" s="9" t="str">
        <f>IFERROR(__xludf.DUMMYFUNCTION("""COMPUTED_VALUE"""),"吳O綺")</f>
        <v>吳O綺</v>
      </c>
      <c r="C462" s="9" t="str">
        <f>IFERROR(__xludf.DUMMYFUNCTION("""COMPUTED_VALUE"""),"214*****yvs.tyc.edu.tw")</f>
        <v>214*****yvs.tyc.edu.tw</v>
      </c>
      <c r="D462" s="9" t="str">
        <f>IFERROR(__xludf.DUMMYFUNCTION("""COMPUTED_VALUE"""),"啟英學校財團法人桃園市啟英高級中等學校")</f>
        <v>啟英學校財團法人桃園市啟英高級中等學校</v>
      </c>
      <c r="E462" s="9" t="str">
        <f>IFERROR(__xludf.DUMMYFUNCTION("""COMPUTED_VALUE"""),"廣設科")</f>
        <v>廣設科</v>
      </c>
      <c r="F462" s="9" t="str">
        <f>IFERROR(__xludf.DUMMYFUNCTION("""COMPUTED_VALUE"""),"三年級")</f>
        <v>三年級</v>
      </c>
      <c r="G462" s="9" t="str">
        <f>IFERROR(__xludf.DUMMYFUNCTION("""COMPUTED_VALUE"""),"■商品卡$200")</f>
        <v>■商品卡$200</v>
      </c>
      <c r="H462" s="9"/>
    </row>
    <row r="463">
      <c r="A463" s="13" t="s">
        <v>11</v>
      </c>
      <c r="B463" s="9" t="str">
        <f>IFERROR(__xludf.DUMMYFUNCTION("""COMPUTED_VALUE"""),"汪O箴")</f>
        <v>汪O箴</v>
      </c>
      <c r="C463" s="9" t="str">
        <f>IFERROR(__xludf.DUMMYFUNCTION("""COMPUTED_VALUE"""),"214*****yvs.tyc.edu.tw")</f>
        <v>214*****yvs.tyc.edu.tw</v>
      </c>
      <c r="D463" s="9" t="str">
        <f>IFERROR(__xludf.DUMMYFUNCTION("""COMPUTED_VALUE"""),"啟英學校財團法人桃園市啟英高級中等學校")</f>
        <v>啟英學校財團法人桃園市啟英高級中等學校</v>
      </c>
      <c r="E463" s="9" t="str">
        <f>IFERROR(__xludf.DUMMYFUNCTION("""COMPUTED_VALUE"""),"廣設科")</f>
        <v>廣設科</v>
      </c>
      <c r="F463" s="9" t="str">
        <f>IFERROR(__xludf.DUMMYFUNCTION("""COMPUTED_VALUE"""),"三年級")</f>
        <v>三年級</v>
      </c>
      <c r="G463" s="9" t="str">
        <f>IFERROR(__xludf.DUMMYFUNCTION("""COMPUTED_VALUE"""),"獎狀")</f>
        <v>獎狀</v>
      </c>
      <c r="H463" s="9"/>
    </row>
    <row r="464">
      <c r="A464" s="13" t="s">
        <v>11</v>
      </c>
      <c r="B464" s="9" t="str">
        <f>IFERROR(__xludf.DUMMYFUNCTION("""COMPUTED_VALUE"""),"張O禎")</f>
        <v>張O禎</v>
      </c>
      <c r="C464" s="9" t="str">
        <f>IFERROR(__xludf.DUMMYFUNCTION("""COMPUTED_VALUE"""),"214*****yvs.tyc.edu.tw")</f>
        <v>214*****yvs.tyc.edu.tw</v>
      </c>
      <c r="D464" s="9" t="str">
        <f>IFERROR(__xludf.DUMMYFUNCTION("""COMPUTED_VALUE"""),"啟英學校財團法人桃園市啟英高級中等學校")</f>
        <v>啟英學校財團法人桃園市啟英高級中等學校</v>
      </c>
      <c r="E464" s="9" t="str">
        <f>IFERROR(__xludf.DUMMYFUNCTION("""COMPUTED_VALUE"""),"廣設科")</f>
        <v>廣設科</v>
      </c>
      <c r="F464" s="9" t="str">
        <f>IFERROR(__xludf.DUMMYFUNCTION("""COMPUTED_VALUE"""),"三年級")</f>
        <v>三年級</v>
      </c>
      <c r="G464" s="9" t="str">
        <f>IFERROR(__xludf.DUMMYFUNCTION("""COMPUTED_VALUE"""),"獎狀")</f>
        <v>獎狀</v>
      </c>
      <c r="H464" s="9"/>
    </row>
    <row r="465">
      <c r="A465" s="13" t="s">
        <v>11</v>
      </c>
      <c r="B465" s="9" t="str">
        <f>IFERROR(__xludf.DUMMYFUNCTION("""COMPUTED_VALUE"""),"張O語")</f>
        <v>張O語</v>
      </c>
      <c r="C465" s="9" t="str">
        <f>IFERROR(__xludf.DUMMYFUNCTION("""COMPUTED_VALUE"""),"214*****yvs.tyc.edu.tw")</f>
        <v>214*****yvs.tyc.edu.tw</v>
      </c>
      <c r="D465" s="9" t="str">
        <f>IFERROR(__xludf.DUMMYFUNCTION("""COMPUTED_VALUE"""),"啟英學校財團法人桃園市啟英高級中等學校")</f>
        <v>啟英學校財團法人桃園市啟英高級中等學校</v>
      </c>
      <c r="E465" s="9" t="str">
        <f>IFERROR(__xludf.DUMMYFUNCTION("""COMPUTED_VALUE"""),"廣設科")</f>
        <v>廣設科</v>
      </c>
      <c r="F465" s="9" t="str">
        <f>IFERROR(__xludf.DUMMYFUNCTION("""COMPUTED_VALUE"""),"三年級")</f>
        <v>三年級</v>
      </c>
      <c r="G465" s="9" t="str">
        <f>IFERROR(__xludf.DUMMYFUNCTION("""COMPUTED_VALUE"""),"獎狀")</f>
        <v>獎狀</v>
      </c>
      <c r="H465" s="9"/>
    </row>
    <row r="466">
      <c r="A466" s="13" t="s">
        <v>11</v>
      </c>
      <c r="B466" s="9" t="str">
        <f>IFERROR(__xludf.DUMMYFUNCTION("""COMPUTED_VALUE"""),"楊O欣")</f>
        <v>楊O欣</v>
      </c>
      <c r="C466" s="9" t="str">
        <f>IFERROR(__xludf.DUMMYFUNCTION("""COMPUTED_VALUE"""),"214*****yvs.tyc.edu.tw")</f>
        <v>214*****yvs.tyc.edu.tw</v>
      </c>
      <c r="D466" s="9" t="str">
        <f>IFERROR(__xludf.DUMMYFUNCTION("""COMPUTED_VALUE"""),"啟英學校財團法人桃園市啟英高級中等學校")</f>
        <v>啟英學校財團法人桃園市啟英高級中等學校</v>
      </c>
      <c r="E466" s="9" t="str">
        <f>IFERROR(__xludf.DUMMYFUNCTION("""COMPUTED_VALUE"""),"廣設科")</f>
        <v>廣設科</v>
      </c>
      <c r="F466" s="9" t="str">
        <f>IFERROR(__xludf.DUMMYFUNCTION("""COMPUTED_VALUE"""),"三年級")</f>
        <v>三年級</v>
      </c>
      <c r="G466" s="9" t="str">
        <f>IFERROR(__xludf.DUMMYFUNCTION("""COMPUTED_VALUE"""),"獎狀")</f>
        <v>獎狀</v>
      </c>
      <c r="H466" s="9"/>
    </row>
    <row r="467">
      <c r="A467" s="13" t="s">
        <v>11</v>
      </c>
      <c r="B467" s="9" t="str">
        <f>IFERROR(__xludf.DUMMYFUNCTION("""COMPUTED_VALUE"""),"羅O紜")</f>
        <v>羅O紜</v>
      </c>
      <c r="C467" s="9" t="str">
        <f>IFERROR(__xludf.DUMMYFUNCTION("""COMPUTED_VALUE"""),"214*****yvs.tyc.edu.tw")</f>
        <v>214*****yvs.tyc.edu.tw</v>
      </c>
      <c r="D467" s="9" t="str">
        <f>IFERROR(__xludf.DUMMYFUNCTION("""COMPUTED_VALUE"""),"啟英學校財團法人桃園市啟英高級中等學校")</f>
        <v>啟英學校財團法人桃園市啟英高級中等學校</v>
      </c>
      <c r="E467" s="9" t="str">
        <f>IFERROR(__xludf.DUMMYFUNCTION("""COMPUTED_VALUE"""),"廣設科")</f>
        <v>廣設科</v>
      </c>
      <c r="F467" s="9" t="str">
        <f>IFERROR(__xludf.DUMMYFUNCTION("""COMPUTED_VALUE"""),"三年級")</f>
        <v>三年級</v>
      </c>
      <c r="G467" s="9" t="str">
        <f>IFERROR(__xludf.DUMMYFUNCTION("""COMPUTED_VALUE"""),"★商品卡$1000")</f>
        <v>★商品卡$1000</v>
      </c>
      <c r="H467" s="9"/>
    </row>
    <row r="468">
      <c r="A468" s="13" t="s">
        <v>11</v>
      </c>
      <c r="B468" s="9" t="str">
        <f>IFERROR(__xludf.DUMMYFUNCTION("""COMPUTED_VALUE"""),"黃O琳")</f>
        <v>黃O琳</v>
      </c>
      <c r="C468" s="9" t="str">
        <f>IFERROR(__xludf.DUMMYFUNCTION("""COMPUTED_VALUE"""),"214*****yvs.tyc.edu.tw")</f>
        <v>214*****yvs.tyc.edu.tw</v>
      </c>
      <c r="D468" s="9" t="str">
        <f>IFERROR(__xludf.DUMMYFUNCTION("""COMPUTED_VALUE"""),"啟英學校財團法人桃園市啟英高級中等學校")</f>
        <v>啟英學校財團法人桃園市啟英高級中等學校</v>
      </c>
      <c r="E468" s="9" t="str">
        <f>IFERROR(__xludf.DUMMYFUNCTION("""COMPUTED_VALUE"""),"廣設科")</f>
        <v>廣設科</v>
      </c>
      <c r="F468" s="9" t="str">
        <f>IFERROR(__xludf.DUMMYFUNCTION("""COMPUTED_VALUE"""),"三年級")</f>
        <v>三年級</v>
      </c>
      <c r="G468" s="9" t="str">
        <f>IFERROR(__xludf.DUMMYFUNCTION("""COMPUTED_VALUE"""),"獎狀")</f>
        <v>獎狀</v>
      </c>
      <c r="H468" s="9"/>
    </row>
    <row r="469">
      <c r="A469" s="13" t="s">
        <v>11</v>
      </c>
      <c r="B469" s="9" t="str">
        <f>IFERROR(__xludf.DUMMYFUNCTION("""COMPUTED_VALUE"""),"陳O翎")</f>
        <v>陳O翎</v>
      </c>
      <c r="C469" s="9" t="str">
        <f>IFERROR(__xludf.DUMMYFUNCTION("""COMPUTED_VALUE"""),"214*****yvs.tyc.edu.tw")</f>
        <v>214*****yvs.tyc.edu.tw</v>
      </c>
      <c r="D469" s="9" t="str">
        <f>IFERROR(__xludf.DUMMYFUNCTION("""COMPUTED_VALUE"""),"啟英學校財團法人桃園市啟英高級中等學校")</f>
        <v>啟英學校財團法人桃園市啟英高級中等學校</v>
      </c>
      <c r="E469" s="9" t="str">
        <f>IFERROR(__xludf.DUMMYFUNCTION("""COMPUTED_VALUE"""),"廣設科")</f>
        <v>廣設科</v>
      </c>
      <c r="F469" s="9" t="str">
        <f>IFERROR(__xludf.DUMMYFUNCTION("""COMPUTED_VALUE"""),"三年級")</f>
        <v>三年級</v>
      </c>
      <c r="G469" s="9" t="str">
        <f>IFERROR(__xludf.DUMMYFUNCTION("""COMPUTED_VALUE"""),"★商品卡$1000")</f>
        <v>★商品卡$1000</v>
      </c>
      <c r="H469" s="9"/>
    </row>
    <row r="470">
      <c r="A470" s="13" t="s">
        <v>11</v>
      </c>
      <c r="B470" s="9" t="str">
        <f>IFERROR(__xludf.DUMMYFUNCTION("""COMPUTED_VALUE"""),"陳O暄")</f>
        <v>陳O暄</v>
      </c>
      <c r="C470" s="9" t="str">
        <f>IFERROR(__xludf.DUMMYFUNCTION("""COMPUTED_VALUE"""),"214*****yvs.tyc.edu.tw")</f>
        <v>214*****yvs.tyc.edu.tw</v>
      </c>
      <c r="D470" s="9" t="str">
        <f>IFERROR(__xludf.DUMMYFUNCTION("""COMPUTED_VALUE"""),"啟英學校財團法人桃園市啟英高級中等學校")</f>
        <v>啟英學校財團法人桃園市啟英高級中等學校</v>
      </c>
      <c r="E470" s="9" t="str">
        <f>IFERROR(__xludf.DUMMYFUNCTION("""COMPUTED_VALUE"""),"廣設科")</f>
        <v>廣設科</v>
      </c>
      <c r="F470" s="9" t="str">
        <f>IFERROR(__xludf.DUMMYFUNCTION("""COMPUTED_VALUE"""),"三年級")</f>
        <v>三年級</v>
      </c>
      <c r="G470" s="9" t="str">
        <f>IFERROR(__xludf.DUMMYFUNCTION("""COMPUTED_VALUE"""),"獎狀")</f>
        <v>獎狀</v>
      </c>
      <c r="H470" s="9"/>
    </row>
    <row r="471">
      <c r="A471" s="13" t="s">
        <v>11</v>
      </c>
      <c r="B471" s="9" t="str">
        <f>IFERROR(__xludf.DUMMYFUNCTION("""COMPUTED_VALUE"""),"黃O千")</f>
        <v>黃O千</v>
      </c>
      <c r="C471" s="9" t="str">
        <f>IFERROR(__xludf.DUMMYFUNCTION("""COMPUTED_VALUE"""),"214*****yvs.tyc.edu.tw")</f>
        <v>214*****yvs.tyc.edu.tw</v>
      </c>
      <c r="D471" s="9" t="str">
        <f>IFERROR(__xludf.DUMMYFUNCTION("""COMPUTED_VALUE"""),"啟英學校財團法人桃園市啟英高級中等學校")</f>
        <v>啟英學校財團法人桃園市啟英高級中等學校</v>
      </c>
      <c r="E471" s="9" t="str">
        <f>IFERROR(__xludf.DUMMYFUNCTION("""COMPUTED_VALUE"""),"廣設科")</f>
        <v>廣設科</v>
      </c>
      <c r="F471" s="9" t="str">
        <f>IFERROR(__xludf.DUMMYFUNCTION("""COMPUTED_VALUE"""),"三年級")</f>
        <v>三年級</v>
      </c>
      <c r="G471" s="9" t="str">
        <f>IFERROR(__xludf.DUMMYFUNCTION("""COMPUTED_VALUE"""),"★商品卡$1000")</f>
        <v>★商品卡$1000</v>
      </c>
      <c r="H471" s="9"/>
    </row>
    <row r="472">
      <c r="A472" s="13" t="s">
        <v>11</v>
      </c>
      <c r="B472" s="9" t="str">
        <f>IFERROR(__xludf.DUMMYFUNCTION("""COMPUTED_VALUE"""),"陳O樂")</f>
        <v>陳O樂</v>
      </c>
      <c r="C472" s="9" t="str">
        <f>IFERROR(__xludf.DUMMYFUNCTION("""COMPUTED_VALUE"""),"312*****.clvs.tyc.edu.tw")</f>
        <v>312*****.clvs.tyc.edu.tw</v>
      </c>
      <c r="D472" s="9" t="str">
        <f>IFERROR(__xludf.DUMMYFUNCTION("""COMPUTED_VALUE"""),"桃園市立中壢家事商業高級中等學校")</f>
        <v>桃園市立中壢家事商業高級中等學校</v>
      </c>
      <c r="E472" s="9" t="str">
        <f>IFERROR(__xludf.DUMMYFUNCTION("""COMPUTED_VALUE"""),"應英科")</f>
        <v>應英科</v>
      </c>
      <c r="F472" s="9" t="str">
        <f>IFERROR(__xludf.DUMMYFUNCTION("""COMPUTED_VALUE"""),"一年級")</f>
        <v>一年級</v>
      </c>
      <c r="G472" s="9" t="str">
        <f>IFERROR(__xludf.DUMMYFUNCTION("""COMPUTED_VALUE"""),"獎狀")</f>
        <v>獎狀</v>
      </c>
      <c r="H472" s="9"/>
    </row>
    <row r="473">
      <c r="A473" s="13" t="s">
        <v>11</v>
      </c>
      <c r="B473" s="9" t="str">
        <f>IFERROR(__xludf.DUMMYFUNCTION("""COMPUTED_VALUE"""),"邱O葦")</f>
        <v>邱O葦</v>
      </c>
      <c r="C473" s="9" t="str">
        <f>IFERROR(__xludf.DUMMYFUNCTION("""COMPUTED_VALUE"""),"312*****.clvs.tyc.edu.tw")</f>
        <v>312*****.clvs.tyc.edu.tw</v>
      </c>
      <c r="D473" s="9" t="str">
        <f>IFERROR(__xludf.DUMMYFUNCTION("""COMPUTED_VALUE"""),"桃園市立中壢家事商業高級中等學校")</f>
        <v>桃園市立中壢家事商業高級中等學校</v>
      </c>
      <c r="E473" s="9" t="str">
        <f>IFERROR(__xludf.DUMMYFUNCTION("""COMPUTED_VALUE"""),"應英科")</f>
        <v>應英科</v>
      </c>
      <c r="F473" s="9" t="str">
        <f>IFERROR(__xludf.DUMMYFUNCTION("""COMPUTED_VALUE"""),"一年級")</f>
        <v>一年級</v>
      </c>
      <c r="G473" s="9" t="str">
        <f>IFERROR(__xludf.DUMMYFUNCTION("""COMPUTED_VALUE"""),"獎狀")</f>
        <v>獎狀</v>
      </c>
      <c r="H473" s="9"/>
    </row>
    <row r="474">
      <c r="A474" s="13" t="s">
        <v>11</v>
      </c>
      <c r="B474" s="9" t="str">
        <f>IFERROR(__xludf.DUMMYFUNCTION("""COMPUTED_VALUE"""),"陳O")</f>
        <v>陳O</v>
      </c>
      <c r="C474" s="9" t="str">
        <f>IFERROR(__xludf.DUMMYFUNCTION("""COMPUTED_VALUE"""),"312*****.clvs.tyc.edu.tw")</f>
        <v>312*****.clvs.tyc.edu.tw</v>
      </c>
      <c r="D474" s="9" t="str">
        <f>IFERROR(__xludf.DUMMYFUNCTION("""COMPUTED_VALUE"""),"桃園市立中壢家事商業高級中等學校")</f>
        <v>桃園市立中壢家事商業高級中等學校</v>
      </c>
      <c r="E474" s="9" t="str">
        <f>IFERROR(__xludf.DUMMYFUNCTION("""COMPUTED_VALUE"""),"應英科")</f>
        <v>應英科</v>
      </c>
      <c r="F474" s="9" t="str">
        <f>IFERROR(__xludf.DUMMYFUNCTION("""COMPUTED_VALUE"""),"一年級")</f>
        <v>一年級</v>
      </c>
      <c r="G474" s="9" t="str">
        <f>IFERROR(__xludf.DUMMYFUNCTION("""COMPUTED_VALUE"""),"獎狀")</f>
        <v>獎狀</v>
      </c>
      <c r="H474" s="9"/>
    </row>
    <row r="475">
      <c r="A475" s="13" t="s">
        <v>11</v>
      </c>
      <c r="B475" s="9" t="str">
        <f>IFERROR(__xludf.DUMMYFUNCTION("""COMPUTED_VALUE"""),"卓O妍")</f>
        <v>卓O妍</v>
      </c>
      <c r="C475" s="9" t="str">
        <f>IFERROR(__xludf.DUMMYFUNCTION("""COMPUTED_VALUE"""),"312*****.clvs.tyc.edu.tw")</f>
        <v>312*****.clvs.tyc.edu.tw</v>
      </c>
      <c r="D475" s="9" t="str">
        <f>IFERROR(__xludf.DUMMYFUNCTION("""COMPUTED_VALUE"""),"桃園市立中壢家事商業高級中等學校")</f>
        <v>桃園市立中壢家事商業高級中等學校</v>
      </c>
      <c r="E475" s="9" t="str">
        <f>IFERROR(__xludf.DUMMYFUNCTION("""COMPUTED_VALUE"""),"應英科")</f>
        <v>應英科</v>
      </c>
      <c r="F475" s="9" t="str">
        <f>IFERROR(__xludf.DUMMYFUNCTION("""COMPUTED_VALUE"""),"一年級")</f>
        <v>一年級</v>
      </c>
      <c r="G475" s="9" t="str">
        <f>IFERROR(__xludf.DUMMYFUNCTION("""COMPUTED_VALUE"""),"獎狀")</f>
        <v>獎狀</v>
      </c>
      <c r="H475" s="9"/>
    </row>
    <row r="476">
      <c r="A476" s="13" t="s">
        <v>11</v>
      </c>
      <c r="B476" s="9" t="str">
        <f>IFERROR(__xludf.DUMMYFUNCTION("""COMPUTED_VALUE"""),"吳O凱")</f>
        <v>吳O凱</v>
      </c>
      <c r="C476" s="9" t="str">
        <f>IFERROR(__xludf.DUMMYFUNCTION("""COMPUTED_VALUE"""),"312*****.clvs.tyc.edu.tw")</f>
        <v>312*****.clvs.tyc.edu.tw</v>
      </c>
      <c r="D476" s="9" t="str">
        <f>IFERROR(__xludf.DUMMYFUNCTION("""COMPUTED_VALUE"""),"桃園市立中壢家事商業高級中等學校")</f>
        <v>桃園市立中壢家事商業高級中等學校</v>
      </c>
      <c r="E476" s="9" t="str">
        <f>IFERROR(__xludf.DUMMYFUNCTION("""COMPUTED_VALUE"""),"應英科")</f>
        <v>應英科</v>
      </c>
      <c r="F476" s="9" t="str">
        <f>IFERROR(__xludf.DUMMYFUNCTION("""COMPUTED_VALUE"""),"一年級")</f>
        <v>一年級</v>
      </c>
      <c r="G476" s="9" t="str">
        <f>IFERROR(__xludf.DUMMYFUNCTION("""COMPUTED_VALUE"""),"獎狀")</f>
        <v>獎狀</v>
      </c>
      <c r="H476" s="9"/>
    </row>
    <row r="477">
      <c r="A477" s="13" t="s">
        <v>11</v>
      </c>
      <c r="B477" s="9" t="str">
        <f>IFERROR(__xludf.DUMMYFUNCTION("""COMPUTED_VALUE"""),"許O婷")</f>
        <v>許O婷</v>
      </c>
      <c r="C477" s="9" t="str">
        <f>IFERROR(__xludf.DUMMYFUNCTION("""COMPUTED_VALUE"""),"312*****.clvs.tyc.edu.tw")</f>
        <v>312*****.clvs.tyc.edu.tw</v>
      </c>
      <c r="D477" s="9" t="str">
        <f>IFERROR(__xludf.DUMMYFUNCTION("""COMPUTED_VALUE"""),"桃園市立中壢家事商業高級中等學校")</f>
        <v>桃園市立中壢家事商業高級中等學校</v>
      </c>
      <c r="E477" s="9" t="str">
        <f>IFERROR(__xludf.DUMMYFUNCTION("""COMPUTED_VALUE"""),"應英科")</f>
        <v>應英科</v>
      </c>
      <c r="F477" s="9" t="str">
        <f>IFERROR(__xludf.DUMMYFUNCTION("""COMPUTED_VALUE"""),"一年級")</f>
        <v>一年級</v>
      </c>
      <c r="G477" s="9" t="str">
        <f>IFERROR(__xludf.DUMMYFUNCTION("""COMPUTED_VALUE"""),"獎狀")</f>
        <v>獎狀</v>
      </c>
      <c r="H477" s="9"/>
    </row>
    <row r="478">
      <c r="A478" s="13" t="s">
        <v>11</v>
      </c>
      <c r="B478" s="9" t="str">
        <f>IFERROR(__xludf.DUMMYFUNCTION("""COMPUTED_VALUE"""),"陳O希")</f>
        <v>陳O希</v>
      </c>
      <c r="C478" s="9" t="str">
        <f>IFERROR(__xludf.DUMMYFUNCTION("""COMPUTED_VALUE"""),"312*****.clvs.tyc.edu.tw")</f>
        <v>312*****.clvs.tyc.edu.tw</v>
      </c>
      <c r="D478" s="9" t="str">
        <f>IFERROR(__xludf.DUMMYFUNCTION("""COMPUTED_VALUE"""),"桃園市立中壢家事商業高級中等學校")</f>
        <v>桃園市立中壢家事商業高級中等學校</v>
      </c>
      <c r="E478" s="9" t="str">
        <f>IFERROR(__xludf.DUMMYFUNCTION("""COMPUTED_VALUE"""),"應英科")</f>
        <v>應英科</v>
      </c>
      <c r="F478" s="9" t="str">
        <f>IFERROR(__xludf.DUMMYFUNCTION("""COMPUTED_VALUE"""),"一年級")</f>
        <v>一年級</v>
      </c>
      <c r="G478" s="9" t="str">
        <f>IFERROR(__xludf.DUMMYFUNCTION("""COMPUTED_VALUE"""),"獎狀")</f>
        <v>獎狀</v>
      </c>
      <c r="H478" s="9"/>
    </row>
    <row r="479">
      <c r="A479" s="13" t="s">
        <v>11</v>
      </c>
      <c r="B479" s="9" t="str">
        <f>IFERROR(__xludf.DUMMYFUNCTION("""COMPUTED_VALUE"""),"林O姍")</f>
        <v>林O姍</v>
      </c>
      <c r="C479" s="9" t="str">
        <f>IFERROR(__xludf.DUMMYFUNCTION("""COMPUTED_VALUE"""),"312*****.clvs.tyc.edu.tw")</f>
        <v>312*****.clvs.tyc.edu.tw</v>
      </c>
      <c r="D479" s="9" t="str">
        <f>IFERROR(__xludf.DUMMYFUNCTION("""COMPUTED_VALUE"""),"桃園市立中壢家事商業高級中等學校")</f>
        <v>桃園市立中壢家事商業高級中等學校</v>
      </c>
      <c r="E479" s="9" t="str">
        <f>IFERROR(__xludf.DUMMYFUNCTION("""COMPUTED_VALUE"""),"應英科")</f>
        <v>應英科</v>
      </c>
      <c r="F479" s="9" t="str">
        <f>IFERROR(__xludf.DUMMYFUNCTION("""COMPUTED_VALUE"""),"一年級")</f>
        <v>一年級</v>
      </c>
      <c r="G479" s="9" t="str">
        <f>IFERROR(__xludf.DUMMYFUNCTION("""COMPUTED_VALUE"""),"獎狀")</f>
        <v>獎狀</v>
      </c>
      <c r="H479" s="9"/>
    </row>
    <row r="480">
      <c r="A480" s="13" t="s">
        <v>11</v>
      </c>
      <c r="B480" s="9" t="str">
        <f>IFERROR(__xludf.DUMMYFUNCTION("""COMPUTED_VALUE"""),"李O錚")</f>
        <v>李O錚</v>
      </c>
      <c r="C480" s="9" t="str">
        <f>IFERROR(__xludf.DUMMYFUNCTION("""COMPUTED_VALUE"""),"312*****.clvs.tyc.edu.tw")</f>
        <v>312*****.clvs.tyc.edu.tw</v>
      </c>
      <c r="D480" s="9" t="str">
        <f>IFERROR(__xludf.DUMMYFUNCTION("""COMPUTED_VALUE"""),"桃園市立中壢家事商業高級中等學校")</f>
        <v>桃園市立中壢家事商業高級中等學校</v>
      </c>
      <c r="E480" s="9" t="str">
        <f>IFERROR(__xludf.DUMMYFUNCTION("""COMPUTED_VALUE"""),"應英科")</f>
        <v>應英科</v>
      </c>
      <c r="F480" s="9" t="str">
        <f>IFERROR(__xludf.DUMMYFUNCTION("""COMPUTED_VALUE"""),"一年級")</f>
        <v>一年級</v>
      </c>
      <c r="G480" s="9" t="str">
        <f>IFERROR(__xludf.DUMMYFUNCTION("""COMPUTED_VALUE"""),"獎狀")</f>
        <v>獎狀</v>
      </c>
      <c r="H480" s="9"/>
    </row>
    <row r="481">
      <c r="A481" s="13" t="s">
        <v>11</v>
      </c>
      <c r="B481" s="9" t="str">
        <f>IFERROR(__xludf.DUMMYFUNCTION("""COMPUTED_VALUE"""),"徐O筑")</f>
        <v>徐O筑</v>
      </c>
      <c r="C481" s="9" t="str">
        <f>IFERROR(__xludf.DUMMYFUNCTION("""COMPUTED_VALUE"""),"312*****.clvs.tyc.edu.tw")</f>
        <v>312*****.clvs.tyc.edu.tw</v>
      </c>
      <c r="D481" s="9" t="str">
        <f>IFERROR(__xludf.DUMMYFUNCTION("""COMPUTED_VALUE"""),"桃園市立中壢家事商業高級中等學校")</f>
        <v>桃園市立中壢家事商業高級中等學校</v>
      </c>
      <c r="E481" s="9" t="str">
        <f>IFERROR(__xludf.DUMMYFUNCTION("""COMPUTED_VALUE"""),"應英科")</f>
        <v>應英科</v>
      </c>
      <c r="F481" s="9" t="str">
        <f>IFERROR(__xludf.DUMMYFUNCTION("""COMPUTED_VALUE"""),"一年級")</f>
        <v>一年級</v>
      </c>
      <c r="G481" s="9" t="str">
        <f>IFERROR(__xludf.DUMMYFUNCTION("""COMPUTED_VALUE"""),"獎狀")</f>
        <v>獎狀</v>
      </c>
      <c r="H481" s="9"/>
    </row>
    <row r="482">
      <c r="A482" s="13" t="s">
        <v>11</v>
      </c>
      <c r="B482" s="9" t="str">
        <f>IFERROR(__xludf.DUMMYFUNCTION("""COMPUTED_VALUE"""),"江O茜")</f>
        <v>江O茜</v>
      </c>
      <c r="C482" s="9" t="str">
        <f>IFERROR(__xludf.DUMMYFUNCTION("""COMPUTED_VALUE"""),"312*****.clvs.tyc.edu.tw")</f>
        <v>312*****.clvs.tyc.edu.tw</v>
      </c>
      <c r="D482" s="9" t="str">
        <f>IFERROR(__xludf.DUMMYFUNCTION("""COMPUTED_VALUE"""),"桃園市立中壢家事商業高級中等學校")</f>
        <v>桃園市立中壢家事商業高級中等學校</v>
      </c>
      <c r="E482" s="9" t="str">
        <f>IFERROR(__xludf.DUMMYFUNCTION("""COMPUTED_VALUE"""),"應英科")</f>
        <v>應英科</v>
      </c>
      <c r="F482" s="9" t="str">
        <f>IFERROR(__xludf.DUMMYFUNCTION("""COMPUTED_VALUE"""),"一年級")</f>
        <v>一年級</v>
      </c>
      <c r="G482" s="9" t="str">
        <f>IFERROR(__xludf.DUMMYFUNCTION("""COMPUTED_VALUE"""),"獎狀")</f>
        <v>獎狀</v>
      </c>
      <c r="H482" s="9"/>
    </row>
    <row r="483">
      <c r="A483" s="13" t="s">
        <v>11</v>
      </c>
      <c r="B483" s="9" t="str">
        <f>IFERROR(__xludf.DUMMYFUNCTION("""COMPUTED_VALUE"""),"陳O萱")</f>
        <v>陳O萱</v>
      </c>
      <c r="C483" s="9" t="str">
        <f>IFERROR(__xludf.DUMMYFUNCTION("""COMPUTED_VALUE"""),"312*****.clvs.tyc.edu.tw")</f>
        <v>312*****.clvs.tyc.edu.tw</v>
      </c>
      <c r="D483" s="9" t="str">
        <f>IFERROR(__xludf.DUMMYFUNCTION("""COMPUTED_VALUE"""),"桃園市立中壢家事商業高級中等學校")</f>
        <v>桃園市立中壢家事商業高級中等學校</v>
      </c>
      <c r="E483" s="9" t="str">
        <f>IFERROR(__xludf.DUMMYFUNCTION("""COMPUTED_VALUE"""),"應英科")</f>
        <v>應英科</v>
      </c>
      <c r="F483" s="9" t="str">
        <f>IFERROR(__xludf.DUMMYFUNCTION("""COMPUTED_VALUE"""),"一年級")</f>
        <v>一年級</v>
      </c>
      <c r="G483" s="9" t="str">
        <f>IFERROR(__xludf.DUMMYFUNCTION("""COMPUTED_VALUE"""),"獎狀")</f>
        <v>獎狀</v>
      </c>
      <c r="H483" s="9"/>
    </row>
    <row r="484">
      <c r="A484" s="13" t="s">
        <v>11</v>
      </c>
      <c r="B484" s="9" t="str">
        <f>IFERROR(__xludf.DUMMYFUNCTION("""COMPUTED_VALUE"""),"廖O茹")</f>
        <v>廖O茹</v>
      </c>
      <c r="C484" s="9" t="str">
        <f>IFERROR(__xludf.DUMMYFUNCTION("""COMPUTED_VALUE"""),"312*****.clvs.tyc.edu.tw")</f>
        <v>312*****.clvs.tyc.edu.tw</v>
      </c>
      <c r="D484" s="9" t="str">
        <f>IFERROR(__xludf.DUMMYFUNCTION("""COMPUTED_VALUE"""),"桃園市立中壢家事商業高級中等學校")</f>
        <v>桃園市立中壢家事商業高級中等學校</v>
      </c>
      <c r="E484" s="9" t="str">
        <f>IFERROR(__xludf.DUMMYFUNCTION("""COMPUTED_VALUE"""),"應英科")</f>
        <v>應英科</v>
      </c>
      <c r="F484" s="9" t="str">
        <f>IFERROR(__xludf.DUMMYFUNCTION("""COMPUTED_VALUE"""),"一年級")</f>
        <v>一年級</v>
      </c>
      <c r="G484" s="9" t="str">
        <f>IFERROR(__xludf.DUMMYFUNCTION("""COMPUTED_VALUE"""),"獎狀")</f>
        <v>獎狀</v>
      </c>
      <c r="H484" s="9"/>
    </row>
    <row r="485">
      <c r="A485" s="13" t="s">
        <v>11</v>
      </c>
      <c r="B485" s="9" t="str">
        <f>IFERROR(__xludf.DUMMYFUNCTION("""COMPUTED_VALUE"""),"葉O濠")</f>
        <v>葉O濠</v>
      </c>
      <c r="C485" s="9" t="str">
        <f>IFERROR(__xludf.DUMMYFUNCTION("""COMPUTED_VALUE"""),"312*****.clvs.tyc.edu.tw")</f>
        <v>312*****.clvs.tyc.edu.tw</v>
      </c>
      <c r="D485" s="9" t="str">
        <f>IFERROR(__xludf.DUMMYFUNCTION("""COMPUTED_VALUE"""),"桃園市立中壢家事商業高級中等學校")</f>
        <v>桃園市立中壢家事商業高級中等學校</v>
      </c>
      <c r="E485" s="9" t="str">
        <f>IFERROR(__xludf.DUMMYFUNCTION("""COMPUTED_VALUE"""),"應英科")</f>
        <v>應英科</v>
      </c>
      <c r="F485" s="9" t="str">
        <f>IFERROR(__xludf.DUMMYFUNCTION("""COMPUTED_VALUE"""),"一年級")</f>
        <v>一年級</v>
      </c>
      <c r="G485" s="9" t="str">
        <f>IFERROR(__xludf.DUMMYFUNCTION("""COMPUTED_VALUE"""),"■商品卡$200")</f>
        <v>■商品卡$200</v>
      </c>
      <c r="H485" s="9"/>
    </row>
    <row r="486">
      <c r="A486" s="13" t="s">
        <v>11</v>
      </c>
      <c r="B486" s="9" t="str">
        <f>IFERROR(__xludf.DUMMYFUNCTION("""COMPUTED_VALUE"""),"蕭O彤")</f>
        <v>蕭O彤</v>
      </c>
      <c r="C486" s="9" t="str">
        <f>IFERROR(__xludf.DUMMYFUNCTION("""COMPUTED_VALUE"""),"312*****.clvs.tyc.edu.tw")</f>
        <v>312*****.clvs.tyc.edu.tw</v>
      </c>
      <c r="D486" s="9" t="str">
        <f>IFERROR(__xludf.DUMMYFUNCTION("""COMPUTED_VALUE"""),"桃園市立中壢家事商業高級中等學校")</f>
        <v>桃園市立中壢家事商業高級中等學校</v>
      </c>
      <c r="E486" s="9" t="str">
        <f>IFERROR(__xludf.DUMMYFUNCTION("""COMPUTED_VALUE"""),"應英科")</f>
        <v>應英科</v>
      </c>
      <c r="F486" s="9" t="str">
        <f>IFERROR(__xludf.DUMMYFUNCTION("""COMPUTED_VALUE"""),"一年級")</f>
        <v>一年級</v>
      </c>
      <c r="G486" s="9" t="str">
        <f>IFERROR(__xludf.DUMMYFUNCTION("""COMPUTED_VALUE"""),"獎狀")</f>
        <v>獎狀</v>
      </c>
      <c r="H486" s="9"/>
    </row>
    <row r="487">
      <c r="A487" s="13" t="s">
        <v>11</v>
      </c>
      <c r="B487" s="9" t="str">
        <f>IFERROR(__xludf.DUMMYFUNCTION("""COMPUTED_VALUE"""),"謝O澤")</f>
        <v>謝O澤</v>
      </c>
      <c r="C487" s="9" t="str">
        <f>IFERROR(__xludf.DUMMYFUNCTION("""COMPUTED_VALUE"""),"312*****.clvs.tyc.edu.tw")</f>
        <v>312*****.clvs.tyc.edu.tw</v>
      </c>
      <c r="D487" s="9" t="str">
        <f>IFERROR(__xludf.DUMMYFUNCTION("""COMPUTED_VALUE"""),"桃園市立中壢家事商業高級中等學校")</f>
        <v>桃園市立中壢家事商業高級中等學校</v>
      </c>
      <c r="E487" s="9" t="str">
        <f>IFERROR(__xludf.DUMMYFUNCTION("""COMPUTED_VALUE"""),"應英科")</f>
        <v>應英科</v>
      </c>
      <c r="F487" s="9" t="str">
        <f>IFERROR(__xludf.DUMMYFUNCTION("""COMPUTED_VALUE"""),"一年級")</f>
        <v>一年級</v>
      </c>
      <c r="G487" s="9" t="str">
        <f>IFERROR(__xludf.DUMMYFUNCTION("""COMPUTED_VALUE"""),"獎狀")</f>
        <v>獎狀</v>
      </c>
      <c r="H487" s="9"/>
    </row>
    <row r="488">
      <c r="A488" s="13" t="s">
        <v>11</v>
      </c>
      <c r="B488" s="9" t="str">
        <f>IFERROR(__xludf.DUMMYFUNCTION("""COMPUTED_VALUE"""),"張O瑜")</f>
        <v>張O瑜</v>
      </c>
      <c r="C488" s="9" t="str">
        <f>IFERROR(__xludf.DUMMYFUNCTION("""COMPUTED_VALUE"""),"312*****.clvs.tyc.edu.tw")</f>
        <v>312*****.clvs.tyc.edu.tw</v>
      </c>
      <c r="D488" s="9" t="str">
        <f>IFERROR(__xludf.DUMMYFUNCTION("""COMPUTED_VALUE"""),"桃園市立中壢家事商業高級中等學校")</f>
        <v>桃園市立中壢家事商業高級中等學校</v>
      </c>
      <c r="E488" s="9" t="str">
        <f>IFERROR(__xludf.DUMMYFUNCTION("""COMPUTED_VALUE"""),"應英科")</f>
        <v>應英科</v>
      </c>
      <c r="F488" s="9" t="str">
        <f>IFERROR(__xludf.DUMMYFUNCTION("""COMPUTED_VALUE"""),"一年級")</f>
        <v>一年級</v>
      </c>
      <c r="G488" s="9" t="str">
        <f>IFERROR(__xludf.DUMMYFUNCTION("""COMPUTED_VALUE"""),"獎狀")</f>
        <v>獎狀</v>
      </c>
      <c r="H488" s="9"/>
    </row>
    <row r="489">
      <c r="A489" s="13" t="s">
        <v>11</v>
      </c>
      <c r="B489" s="9" t="str">
        <f>IFERROR(__xludf.DUMMYFUNCTION("""COMPUTED_VALUE"""),"高O軒")</f>
        <v>高O軒</v>
      </c>
      <c r="C489" s="9" t="str">
        <f>IFERROR(__xludf.DUMMYFUNCTION("""COMPUTED_VALUE"""),"312*****.clvs.tyc.edu.tw")</f>
        <v>312*****.clvs.tyc.edu.tw</v>
      </c>
      <c r="D489" s="9" t="str">
        <f>IFERROR(__xludf.DUMMYFUNCTION("""COMPUTED_VALUE"""),"桃園市立中壢家事商業高級中等學校")</f>
        <v>桃園市立中壢家事商業高級中等學校</v>
      </c>
      <c r="E489" s="9" t="str">
        <f>IFERROR(__xludf.DUMMYFUNCTION("""COMPUTED_VALUE"""),"應英科")</f>
        <v>應英科</v>
      </c>
      <c r="F489" s="9" t="str">
        <f>IFERROR(__xludf.DUMMYFUNCTION("""COMPUTED_VALUE"""),"一年級")</f>
        <v>一年級</v>
      </c>
      <c r="G489" s="9" t="str">
        <f>IFERROR(__xludf.DUMMYFUNCTION("""COMPUTED_VALUE"""),"獎狀")</f>
        <v>獎狀</v>
      </c>
      <c r="H489" s="9"/>
    </row>
    <row r="490">
      <c r="A490" s="13" t="s">
        <v>11</v>
      </c>
      <c r="B490" s="9" t="str">
        <f>IFERROR(__xludf.DUMMYFUNCTION("""COMPUTED_VALUE"""),"喬O蓉")</f>
        <v>喬O蓉</v>
      </c>
      <c r="C490" s="9" t="str">
        <f>IFERROR(__xludf.DUMMYFUNCTION("""COMPUTED_VALUE"""),"rub*****03@gmail.com")</f>
        <v>rub*****03@gmail.com</v>
      </c>
      <c r="D490" s="9" t="str">
        <f>IFERROR(__xludf.DUMMYFUNCTION("""COMPUTED_VALUE"""),"桃園市立中壢家事商業高級中等學校")</f>
        <v>桃園市立中壢家事商業高級中等學校</v>
      </c>
      <c r="E490" s="9" t="str">
        <f>IFERROR(__xludf.DUMMYFUNCTION("""COMPUTED_VALUE"""),"應英科")</f>
        <v>應英科</v>
      </c>
      <c r="F490" s="9" t="str">
        <f>IFERROR(__xludf.DUMMYFUNCTION("""COMPUTED_VALUE"""),"一年級")</f>
        <v>一年級</v>
      </c>
      <c r="G490" s="9" t="str">
        <f>IFERROR(__xludf.DUMMYFUNCTION("""COMPUTED_VALUE"""),"獎狀")</f>
        <v>獎狀</v>
      </c>
      <c r="H490" s="9"/>
    </row>
    <row r="491">
      <c r="A491" s="13" t="s">
        <v>11</v>
      </c>
      <c r="B491" s="9" t="str">
        <f>IFERROR(__xludf.DUMMYFUNCTION("""COMPUTED_VALUE"""),"廖O傑")</f>
        <v>廖O傑</v>
      </c>
      <c r="C491" s="9" t="str">
        <f>IFERROR(__xludf.DUMMYFUNCTION("""COMPUTED_VALUE"""),"d11*****109@yuda.tyc.edu.tw")</f>
        <v>d11*****109@yuda.tyc.edu.tw</v>
      </c>
      <c r="D491" s="9" t="str">
        <f>IFERROR(__xludf.DUMMYFUNCTION("""COMPUTED_VALUE"""),"桃園育達學校財團法人桃園市育達高級中等學校")</f>
        <v>桃園育達學校財團法人桃園市育達高級中等學校</v>
      </c>
      <c r="E491" s="9" t="str">
        <f>IFERROR(__xludf.DUMMYFUNCTION("""COMPUTED_VALUE"""),"應英科")</f>
        <v>應英科</v>
      </c>
      <c r="F491" s="9" t="str">
        <f>IFERROR(__xludf.DUMMYFUNCTION("""COMPUTED_VALUE"""),"三年級")</f>
        <v>三年級</v>
      </c>
      <c r="G491" s="9" t="str">
        <f>IFERROR(__xludf.DUMMYFUNCTION("""COMPUTED_VALUE"""),"■商品卡$200")</f>
        <v>■商品卡$200</v>
      </c>
      <c r="H491" s="9"/>
    </row>
    <row r="492">
      <c r="A492" s="13" t="s">
        <v>11</v>
      </c>
      <c r="B492" s="9" t="str">
        <f>IFERROR(__xludf.DUMMYFUNCTION("""COMPUTED_VALUE"""),"梁O琳")</f>
        <v>梁O琳</v>
      </c>
      <c r="C492" s="9" t="str">
        <f>IFERROR(__xludf.DUMMYFUNCTION("""COMPUTED_VALUE"""),"d11*****125@yuda.tyc.edu.tw")</f>
        <v>d11*****125@yuda.tyc.edu.tw</v>
      </c>
      <c r="D492" s="9" t="str">
        <f>IFERROR(__xludf.DUMMYFUNCTION("""COMPUTED_VALUE"""),"桃園育達學校財團法人桃園市育達高級中等學校")</f>
        <v>桃園育達學校財團法人桃園市育達高級中等學校</v>
      </c>
      <c r="E492" s="9" t="str">
        <f>IFERROR(__xludf.DUMMYFUNCTION("""COMPUTED_VALUE"""),"應英科")</f>
        <v>應英科</v>
      </c>
      <c r="F492" s="9" t="str">
        <f>IFERROR(__xludf.DUMMYFUNCTION("""COMPUTED_VALUE"""),"三年級")</f>
        <v>三年級</v>
      </c>
      <c r="G492" s="9" t="str">
        <f>IFERROR(__xludf.DUMMYFUNCTION("""COMPUTED_VALUE"""),"獎狀")</f>
        <v>獎狀</v>
      </c>
      <c r="H492" s="9"/>
    </row>
    <row r="493">
      <c r="A493" s="13" t="s">
        <v>11</v>
      </c>
      <c r="B493" s="9" t="str">
        <f>IFERROR(__xludf.DUMMYFUNCTION("""COMPUTED_VALUE"""),"范O涵")</f>
        <v>范O涵</v>
      </c>
      <c r="C493" s="9" t="str">
        <f>IFERROR(__xludf.DUMMYFUNCTION("""COMPUTED_VALUE"""),"d11*****209@yuda.tyc.edu.tw")</f>
        <v>d11*****209@yuda.tyc.edu.tw</v>
      </c>
      <c r="D493" s="9" t="str">
        <f>IFERROR(__xludf.DUMMYFUNCTION("""COMPUTED_VALUE"""),"桃園育達學校財團法人桃園市育達高級中等學校")</f>
        <v>桃園育達學校財團法人桃園市育達高級中等學校</v>
      </c>
      <c r="E493" s="9" t="str">
        <f>IFERROR(__xludf.DUMMYFUNCTION("""COMPUTED_VALUE"""),"應英科")</f>
        <v>應英科</v>
      </c>
      <c r="F493" s="9" t="str">
        <f>IFERROR(__xludf.DUMMYFUNCTION("""COMPUTED_VALUE"""),"三年級")</f>
        <v>三年級</v>
      </c>
      <c r="G493" s="9" t="str">
        <f>IFERROR(__xludf.DUMMYFUNCTION("""COMPUTED_VALUE"""),"獎狀")</f>
        <v>獎狀</v>
      </c>
      <c r="H493" s="9"/>
    </row>
    <row r="494">
      <c r="A494" s="13" t="s">
        <v>11</v>
      </c>
      <c r="B494" s="9" t="str">
        <f>IFERROR(__xludf.DUMMYFUNCTION("""COMPUTED_VALUE"""),"黃O琦")</f>
        <v>黃O琦</v>
      </c>
      <c r="C494" s="9" t="str">
        <f>IFERROR(__xludf.DUMMYFUNCTION("""COMPUTED_VALUE"""),"d11*****133@yuda.tyc.edu.tw")</f>
        <v>d11*****133@yuda.tyc.edu.tw</v>
      </c>
      <c r="D494" s="9" t="str">
        <f>IFERROR(__xludf.DUMMYFUNCTION("""COMPUTED_VALUE"""),"桃園育達學校財團法人桃園市育達高級中等學校")</f>
        <v>桃園育達學校財團法人桃園市育達高級中等學校</v>
      </c>
      <c r="E494" s="9" t="str">
        <f>IFERROR(__xludf.DUMMYFUNCTION("""COMPUTED_VALUE"""),"應英科")</f>
        <v>應英科</v>
      </c>
      <c r="F494" s="9" t="str">
        <f>IFERROR(__xludf.DUMMYFUNCTION("""COMPUTED_VALUE"""),"三年級")</f>
        <v>三年級</v>
      </c>
      <c r="G494" s="9" t="str">
        <f>IFERROR(__xludf.DUMMYFUNCTION("""COMPUTED_VALUE"""),"獎狀")</f>
        <v>獎狀</v>
      </c>
      <c r="H494" s="9"/>
    </row>
    <row r="495">
      <c r="A495" s="13" t="s">
        <v>11</v>
      </c>
      <c r="B495" s="9" t="str">
        <f>IFERROR(__xludf.DUMMYFUNCTION("""COMPUTED_VALUE"""),"鄧O永")</f>
        <v>鄧O永</v>
      </c>
      <c r="C495" s="9" t="str">
        <f>IFERROR(__xludf.DUMMYFUNCTION("""COMPUTED_VALUE"""),"std*****36@goo.tyai.tyc.edu.tw")</f>
        <v>std*****36@goo.tyai.tyc.edu.tw</v>
      </c>
      <c r="D495" s="9" t="str">
        <f>IFERROR(__xludf.DUMMYFUNCTION("""COMPUTED_VALUE"""),"國立臺北科技大學附屬桃園農工高級中等學校")</f>
        <v>國立臺北科技大學附屬桃園農工高級中等學校</v>
      </c>
      <c r="E495" s="9" t="str">
        <f>IFERROR(__xludf.DUMMYFUNCTION("""COMPUTED_VALUE"""),"畜保科")</f>
        <v>畜保科</v>
      </c>
      <c r="F495" s="9" t="str">
        <f>IFERROR(__xludf.DUMMYFUNCTION("""COMPUTED_VALUE"""),"二年級")</f>
        <v>二年級</v>
      </c>
      <c r="G495" s="9" t="str">
        <f>IFERROR(__xludf.DUMMYFUNCTION("""COMPUTED_VALUE"""),"獎狀")</f>
        <v>獎狀</v>
      </c>
      <c r="H495" s="11"/>
    </row>
    <row r="496">
      <c r="A496" s="13" t="s">
        <v>11</v>
      </c>
      <c r="B496" s="9" t="str">
        <f>IFERROR(__xludf.DUMMYFUNCTION("""COMPUTED_VALUE"""),"江O采")</f>
        <v>江O采</v>
      </c>
      <c r="C496" s="9" t="str">
        <f>IFERROR(__xludf.DUMMYFUNCTION("""COMPUTED_VALUE"""),"std*****01@goo.tyai.tyc.edu.tw")</f>
        <v>std*****01@goo.tyai.tyc.edu.tw</v>
      </c>
      <c r="D496" s="9" t="str">
        <f>IFERROR(__xludf.DUMMYFUNCTION("""COMPUTED_VALUE"""),"國立臺北科技大學附屬桃園農工高級中等學校")</f>
        <v>國立臺北科技大學附屬桃園農工高級中等學校</v>
      </c>
      <c r="E496" s="9" t="str">
        <f>IFERROR(__xludf.DUMMYFUNCTION("""COMPUTED_VALUE"""),"畜保科")</f>
        <v>畜保科</v>
      </c>
      <c r="F496" s="9" t="str">
        <f>IFERROR(__xludf.DUMMYFUNCTION("""COMPUTED_VALUE"""),"三年級")</f>
        <v>三年級</v>
      </c>
      <c r="G496" s="9" t="str">
        <f>IFERROR(__xludf.DUMMYFUNCTION("""COMPUTED_VALUE"""),"獎狀")</f>
        <v>獎狀</v>
      </c>
      <c r="H496" s="11"/>
    </row>
    <row r="497">
      <c r="A497" s="13" t="s">
        <v>11</v>
      </c>
      <c r="B497" s="9" t="str">
        <f>IFERROR(__xludf.DUMMYFUNCTION("""COMPUTED_VALUE"""),"林O飛")</f>
        <v>林O飛</v>
      </c>
      <c r="C497" s="9" t="str">
        <f>IFERROR(__xludf.DUMMYFUNCTION("""COMPUTED_VALUE"""),"std*****15@goo.tyai.tyc.edu.tw")</f>
        <v>std*****15@goo.tyai.tyc.edu.tw</v>
      </c>
      <c r="D497" s="9" t="str">
        <f>IFERROR(__xludf.DUMMYFUNCTION("""COMPUTED_VALUE"""),"國立臺北科技大學附屬桃園農工高級中等學校")</f>
        <v>國立臺北科技大學附屬桃園農工高級中等學校</v>
      </c>
      <c r="E497" s="9" t="str">
        <f>IFERROR(__xludf.DUMMYFUNCTION("""COMPUTED_VALUE"""),"畜保科")</f>
        <v>畜保科</v>
      </c>
      <c r="F497" s="9" t="str">
        <f>IFERROR(__xludf.DUMMYFUNCTION("""COMPUTED_VALUE"""),"三年級")</f>
        <v>三年級</v>
      </c>
      <c r="G497" s="9" t="str">
        <f>IFERROR(__xludf.DUMMYFUNCTION("""COMPUTED_VALUE"""),"獎狀")</f>
        <v>獎狀</v>
      </c>
      <c r="H497" s="11"/>
    </row>
    <row r="498">
      <c r="A498" s="13" t="s">
        <v>11</v>
      </c>
      <c r="B498" s="9" t="str">
        <f>IFERROR(__xludf.DUMMYFUNCTION("""COMPUTED_VALUE"""),"楊O澔")</f>
        <v>楊O澔</v>
      </c>
      <c r="C498" s="9" t="str">
        <f>IFERROR(__xludf.DUMMYFUNCTION("""COMPUTED_VALUE"""),"std*****34@goo.tyai.tyc.edu.tw")</f>
        <v>std*****34@goo.tyai.tyc.edu.tw</v>
      </c>
      <c r="D498" s="9" t="str">
        <f>IFERROR(__xludf.DUMMYFUNCTION("""COMPUTED_VALUE"""),"國立臺北科技大學附屬桃園農工高級中等學校")</f>
        <v>國立臺北科技大學附屬桃園農工高級中等學校</v>
      </c>
      <c r="E498" s="9" t="str">
        <f>IFERROR(__xludf.DUMMYFUNCTION("""COMPUTED_VALUE"""),"畜保科")</f>
        <v>畜保科</v>
      </c>
      <c r="F498" s="9" t="str">
        <f>IFERROR(__xludf.DUMMYFUNCTION("""COMPUTED_VALUE"""),"二年級")</f>
        <v>二年級</v>
      </c>
      <c r="G498" s="9" t="str">
        <f>IFERROR(__xludf.DUMMYFUNCTION("""COMPUTED_VALUE"""),"獎狀")</f>
        <v>獎狀</v>
      </c>
      <c r="H498" s="11"/>
    </row>
    <row r="499">
      <c r="A499" s="13" t="s">
        <v>11</v>
      </c>
      <c r="B499" s="9" t="str">
        <f>IFERROR(__xludf.DUMMYFUNCTION("""COMPUTED_VALUE"""),"莊O閔")</f>
        <v>莊O閔</v>
      </c>
      <c r="C499" s="9" t="str">
        <f>IFERROR(__xludf.DUMMYFUNCTION("""COMPUTED_VALUE"""),"std*****24@goo.tyai.tyc.edu.tw")</f>
        <v>std*****24@goo.tyai.tyc.edu.tw</v>
      </c>
      <c r="D499" s="9" t="str">
        <f>IFERROR(__xludf.DUMMYFUNCTION("""COMPUTED_VALUE"""),"國立臺北科技大學附屬桃園農工高級中等學校")</f>
        <v>國立臺北科技大學附屬桃園農工高級中等學校</v>
      </c>
      <c r="E499" s="9" t="str">
        <f>IFERROR(__xludf.DUMMYFUNCTION("""COMPUTED_VALUE"""),"畜保科")</f>
        <v>畜保科</v>
      </c>
      <c r="F499" s="9" t="str">
        <f>IFERROR(__xludf.DUMMYFUNCTION("""COMPUTED_VALUE"""),"三年級")</f>
        <v>三年級</v>
      </c>
      <c r="G499" s="9" t="str">
        <f>IFERROR(__xludf.DUMMYFUNCTION("""COMPUTED_VALUE"""),"獎狀")</f>
        <v>獎狀</v>
      </c>
      <c r="H499" s="11"/>
    </row>
    <row r="500">
      <c r="A500" s="13" t="s">
        <v>11</v>
      </c>
      <c r="B500" s="9" t="str">
        <f>IFERROR(__xludf.DUMMYFUNCTION("""COMPUTED_VALUE"""),"張O頤")</f>
        <v>張O頤</v>
      </c>
      <c r="C500" s="9" t="str">
        <f>IFERROR(__xludf.DUMMYFUNCTION("""COMPUTED_VALUE"""),"std*****05@goo.tyai.tyc.edu.tw")</f>
        <v>std*****05@goo.tyai.tyc.edu.tw</v>
      </c>
      <c r="D500" s="9" t="str">
        <f>IFERROR(__xludf.DUMMYFUNCTION("""COMPUTED_VALUE"""),"國立臺北科技大學附屬桃園農工高級中等學校")</f>
        <v>國立臺北科技大學附屬桃園農工高級中等學校</v>
      </c>
      <c r="E500" s="9" t="str">
        <f>IFERROR(__xludf.DUMMYFUNCTION("""COMPUTED_VALUE"""),"畜保科")</f>
        <v>畜保科</v>
      </c>
      <c r="F500" s="9" t="str">
        <f>IFERROR(__xludf.DUMMYFUNCTION("""COMPUTED_VALUE"""),"三年級")</f>
        <v>三年級</v>
      </c>
      <c r="G500" s="9" t="str">
        <f>IFERROR(__xludf.DUMMYFUNCTION("""COMPUTED_VALUE"""),"獎狀")</f>
        <v>獎狀</v>
      </c>
      <c r="H500" s="11"/>
    </row>
    <row r="501">
      <c r="A501" s="13" t="s">
        <v>11</v>
      </c>
      <c r="B501" s="9" t="str">
        <f>IFERROR(__xludf.DUMMYFUNCTION("""COMPUTED_VALUE"""),"陳O")</f>
        <v>陳O</v>
      </c>
      <c r="C501" s="9" t="str">
        <f>IFERROR(__xludf.DUMMYFUNCTION("""COMPUTED_VALUE"""),"std*****28@goo.tyai.tyc.edu.tw")</f>
        <v>std*****28@goo.tyai.tyc.edu.tw</v>
      </c>
      <c r="D501" s="9" t="str">
        <f>IFERROR(__xludf.DUMMYFUNCTION("""COMPUTED_VALUE"""),"國立臺北科技大學附屬桃園農工高級中等學校")</f>
        <v>國立臺北科技大學附屬桃園農工高級中等學校</v>
      </c>
      <c r="E501" s="9" t="str">
        <f>IFERROR(__xludf.DUMMYFUNCTION("""COMPUTED_VALUE"""),"畜保科")</f>
        <v>畜保科</v>
      </c>
      <c r="F501" s="9" t="str">
        <f>IFERROR(__xludf.DUMMYFUNCTION("""COMPUTED_VALUE"""),"二年級")</f>
        <v>二年級</v>
      </c>
      <c r="G501" s="9" t="str">
        <f>IFERROR(__xludf.DUMMYFUNCTION("""COMPUTED_VALUE"""),"獎狀")</f>
        <v>獎狀</v>
      </c>
      <c r="H501" s="11"/>
    </row>
    <row r="502">
      <c r="A502" s="13" t="s">
        <v>11</v>
      </c>
      <c r="B502" s="9" t="str">
        <f>IFERROR(__xludf.DUMMYFUNCTION("""COMPUTED_VALUE"""),"陳O緯")</f>
        <v>陳O緯</v>
      </c>
      <c r="C502" s="9" t="str">
        <f>IFERROR(__xludf.DUMMYFUNCTION("""COMPUTED_VALUE"""),"std*****27@goo.tyai.tyc.edu.tw")</f>
        <v>std*****27@goo.tyai.tyc.edu.tw</v>
      </c>
      <c r="D502" s="9" t="str">
        <f>IFERROR(__xludf.DUMMYFUNCTION("""COMPUTED_VALUE"""),"國立臺北科技大學附屬桃園農工高級中等學校")</f>
        <v>國立臺北科技大學附屬桃園農工高級中等學校</v>
      </c>
      <c r="E502" s="9" t="str">
        <f>IFERROR(__xludf.DUMMYFUNCTION("""COMPUTED_VALUE"""),"畜保科")</f>
        <v>畜保科</v>
      </c>
      <c r="F502" s="9" t="str">
        <f>IFERROR(__xludf.DUMMYFUNCTION("""COMPUTED_VALUE"""),"三年級")</f>
        <v>三年級</v>
      </c>
      <c r="G502" s="9" t="str">
        <f>IFERROR(__xludf.DUMMYFUNCTION("""COMPUTED_VALUE"""),"■商品卡$200")</f>
        <v>■商品卡$200</v>
      </c>
      <c r="H502" s="11"/>
    </row>
    <row r="503">
      <c r="A503" s="13" t="s">
        <v>11</v>
      </c>
      <c r="B503" s="9" t="str">
        <f>IFERROR(__xludf.DUMMYFUNCTION("""COMPUTED_VALUE"""),"黃O紘")</f>
        <v>黃O紘</v>
      </c>
      <c r="C503" s="9" t="str">
        <f>IFERROR(__xludf.DUMMYFUNCTION("""COMPUTED_VALUE"""),"std*****32@goo.tyai.tyc.edu.tw")</f>
        <v>std*****32@goo.tyai.tyc.edu.tw</v>
      </c>
      <c r="D503" s="9" t="str">
        <f>IFERROR(__xludf.DUMMYFUNCTION("""COMPUTED_VALUE"""),"國立臺北科技大學附屬桃園農工高級中等學校")</f>
        <v>國立臺北科技大學附屬桃園農工高級中等學校</v>
      </c>
      <c r="E503" s="9" t="str">
        <f>IFERROR(__xludf.DUMMYFUNCTION("""COMPUTED_VALUE"""),"畜保科")</f>
        <v>畜保科</v>
      </c>
      <c r="F503" s="9" t="str">
        <f>IFERROR(__xludf.DUMMYFUNCTION("""COMPUTED_VALUE"""),"三年級")</f>
        <v>三年級</v>
      </c>
      <c r="G503" s="9" t="str">
        <f>IFERROR(__xludf.DUMMYFUNCTION("""COMPUTED_VALUE"""),"獎狀")</f>
        <v>獎狀</v>
      </c>
      <c r="H503" s="11"/>
    </row>
    <row r="504">
      <c r="A504" s="13" t="s">
        <v>11</v>
      </c>
      <c r="B504" s="9" t="str">
        <f>IFERROR(__xludf.DUMMYFUNCTION("""COMPUTED_VALUE"""),"李O妘")</f>
        <v>李O妘</v>
      </c>
      <c r="C504" s="9" t="str">
        <f>IFERROR(__xludf.DUMMYFUNCTION("""COMPUTED_VALUE"""),"std*****03@goo.tyai.tyc.edu.tw")</f>
        <v>std*****03@goo.tyai.tyc.edu.tw</v>
      </c>
      <c r="D504" s="9" t="str">
        <f>IFERROR(__xludf.DUMMYFUNCTION("""COMPUTED_VALUE"""),"國立臺北科技大學附屬桃園農工高級中等學校")</f>
        <v>國立臺北科技大學附屬桃園農工高級中等學校</v>
      </c>
      <c r="E504" s="9" t="str">
        <f>IFERROR(__xludf.DUMMYFUNCTION("""COMPUTED_VALUE"""),"畜保科")</f>
        <v>畜保科</v>
      </c>
      <c r="F504" s="9" t="str">
        <f>IFERROR(__xludf.DUMMYFUNCTION("""COMPUTED_VALUE"""),"三年級")</f>
        <v>三年級</v>
      </c>
      <c r="G504" s="9" t="str">
        <f>IFERROR(__xludf.DUMMYFUNCTION("""COMPUTED_VALUE"""),"獎狀")</f>
        <v>獎狀</v>
      </c>
      <c r="H504" s="11"/>
    </row>
    <row r="505">
      <c r="A505" s="13" t="s">
        <v>11</v>
      </c>
      <c r="B505" s="9" t="str">
        <f>IFERROR(__xludf.DUMMYFUNCTION("""COMPUTED_VALUE"""),"李O恒")</f>
        <v>李O恒</v>
      </c>
      <c r="C505" s="9" t="str">
        <f>IFERROR(__xludf.DUMMYFUNCTION("""COMPUTED_VALUE"""),"std*****02@goo.tyai.tyc.edu.tw")</f>
        <v>std*****02@goo.tyai.tyc.edu.tw</v>
      </c>
      <c r="D505" s="9" t="str">
        <f>IFERROR(__xludf.DUMMYFUNCTION("""COMPUTED_VALUE"""),"國立臺北科技大學附屬桃園農工高級中等學校")</f>
        <v>國立臺北科技大學附屬桃園農工高級中等學校</v>
      </c>
      <c r="E505" s="9" t="str">
        <f>IFERROR(__xludf.DUMMYFUNCTION("""COMPUTED_VALUE"""),"畜保科")</f>
        <v>畜保科</v>
      </c>
      <c r="F505" s="9" t="str">
        <f>IFERROR(__xludf.DUMMYFUNCTION("""COMPUTED_VALUE"""),"三年級")</f>
        <v>三年級</v>
      </c>
      <c r="G505" s="9" t="str">
        <f>IFERROR(__xludf.DUMMYFUNCTION("""COMPUTED_VALUE"""),"獎狀")</f>
        <v>獎狀</v>
      </c>
      <c r="H505" s="11"/>
    </row>
    <row r="506">
      <c r="A506" s="13" t="s">
        <v>11</v>
      </c>
      <c r="B506" s="9" t="str">
        <f>IFERROR(__xludf.DUMMYFUNCTION("""COMPUTED_VALUE"""),"邱O鈞")</f>
        <v>邱O鈞</v>
      </c>
      <c r="C506" s="9" t="str">
        <f>IFERROR(__xludf.DUMMYFUNCTION("""COMPUTED_VALUE"""),"std*****19@goo.tyai.tyc.edu.tw")</f>
        <v>std*****19@goo.tyai.tyc.edu.tw</v>
      </c>
      <c r="D506" s="9" t="str">
        <f>IFERROR(__xludf.DUMMYFUNCTION("""COMPUTED_VALUE"""),"國立臺北科技大學附屬桃園農工高級中等學校")</f>
        <v>國立臺北科技大學附屬桃園農工高級中等學校</v>
      </c>
      <c r="E506" s="9" t="str">
        <f>IFERROR(__xludf.DUMMYFUNCTION("""COMPUTED_VALUE"""),"畜保科")</f>
        <v>畜保科</v>
      </c>
      <c r="F506" s="9" t="str">
        <f>IFERROR(__xludf.DUMMYFUNCTION("""COMPUTED_VALUE"""),"三年級")</f>
        <v>三年級</v>
      </c>
      <c r="G506" s="9" t="str">
        <f>IFERROR(__xludf.DUMMYFUNCTION("""COMPUTED_VALUE"""),"■商品卡$200")</f>
        <v>■商品卡$200</v>
      </c>
      <c r="H506" s="11"/>
    </row>
    <row r="507">
      <c r="A507" s="13" t="s">
        <v>11</v>
      </c>
      <c r="B507" s="9" t="str">
        <f>IFERROR(__xludf.DUMMYFUNCTION("""COMPUTED_VALUE"""),"張O睿")</f>
        <v>張O睿</v>
      </c>
      <c r="C507" s="9" t="str">
        <f>IFERROR(__xludf.DUMMYFUNCTION("""COMPUTED_VALUE"""),"std*****22@goo.tyai.tyc.edu.tw")</f>
        <v>std*****22@goo.tyai.tyc.edu.tw</v>
      </c>
      <c r="D507" s="9" t="str">
        <f>IFERROR(__xludf.DUMMYFUNCTION("""COMPUTED_VALUE"""),"國立臺北科技大學附屬桃園農工高級中等學校")</f>
        <v>國立臺北科技大學附屬桃園農工高級中等學校</v>
      </c>
      <c r="E507" s="9" t="str">
        <f>IFERROR(__xludf.DUMMYFUNCTION("""COMPUTED_VALUE"""),"畜保科")</f>
        <v>畜保科</v>
      </c>
      <c r="F507" s="9" t="str">
        <f>IFERROR(__xludf.DUMMYFUNCTION("""COMPUTED_VALUE"""),"二年級")</f>
        <v>二年級</v>
      </c>
      <c r="G507" s="9" t="str">
        <f>IFERROR(__xludf.DUMMYFUNCTION("""COMPUTED_VALUE"""),"獎狀")</f>
        <v>獎狀</v>
      </c>
      <c r="H507" s="11"/>
    </row>
    <row r="508">
      <c r="A508" s="13" t="s">
        <v>11</v>
      </c>
      <c r="B508" s="9" t="str">
        <f>IFERROR(__xludf.DUMMYFUNCTION("""COMPUTED_VALUE"""),"黃O群")</f>
        <v>黃O群</v>
      </c>
      <c r="C508" s="9" t="str">
        <f>IFERROR(__xludf.DUMMYFUNCTION("""COMPUTED_VALUE"""),"std*****33@goo.tyai.tyc.edu.tw")</f>
        <v>std*****33@goo.tyai.tyc.edu.tw</v>
      </c>
      <c r="D508" s="9" t="str">
        <f>IFERROR(__xludf.DUMMYFUNCTION("""COMPUTED_VALUE"""),"國立臺北科技大學附屬桃園農工高級中等學校")</f>
        <v>國立臺北科技大學附屬桃園農工高級中等學校</v>
      </c>
      <c r="E508" s="9" t="str">
        <f>IFERROR(__xludf.DUMMYFUNCTION("""COMPUTED_VALUE"""),"畜保科")</f>
        <v>畜保科</v>
      </c>
      <c r="F508" s="9" t="str">
        <f>IFERROR(__xludf.DUMMYFUNCTION("""COMPUTED_VALUE"""),"二年級")</f>
        <v>二年級</v>
      </c>
      <c r="G508" s="9" t="str">
        <f>IFERROR(__xludf.DUMMYFUNCTION("""COMPUTED_VALUE"""),"獎狀")</f>
        <v>獎狀</v>
      </c>
      <c r="H508" s="11" t="str">
        <f>IFERROR(__xludf.DUMMYFUNCTION("""COMPUTED_VALUE"""),"學籍資料不齊，請提供【就讀班級】")</f>
        <v>學籍資料不齊，請提供【就讀班級】</v>
      </c>
    </row>
    <row r="509">
      <c r="A509" s="13" t="s">
        <v>11</v>
      </c>
      <c r="B509" s="9" t="str">
        <f>IFERROR(__xludf.DUMMYFUNCTION("""COMPUTED_VALUE"""),"許O婷")</f>
        <v>許O婷</v>
      </c>
      <c r="C509" s="9" t="str">
        <f>IFERROR(__xludf.DUMMYFUNCTION("""COMPUTED_VALUE"""),"std*****07@goo.tyai.tyc.edu.tw")</f>
        <v>std*****07@goo.tyai.tyc.edu.tw</v>
      </c>
      <c r="D509" s="9" t="str">
        <f>IFERROR(__xludf.DUMMYFUNCTION("""COMPUTED_VALUE"""),"國立臺北科技大學附屬桃園農工高級中等學校")</f>
        <v>國立臺北科技大學附屬桃園農工高級中等學校</v>
      </c>
      <c r="E509" s="9" t="str">
        <f>IFERROR(__xludf.DUMMYFUNCTION("""COMPUTED_VALUE"""),"畜保科")</f>
        <v>畜保科</v>
      </c>
      <c r="F509" s="9" t="str">
        <f>IFERROR(__xludf.DUMMYFUNCTION("""COMPUTED_VALUE"""),"三年級")</f>
        <v>三年級</v>
      </c>
      <c r="G509" s="9" t="str">
        <f>IFERROR(__xludf.DUMMYFUNCTION("""COMPUTED_VALUE"""),"獎狀")</f>
        <v>獎狀</v>
      </c>
      <c r="H509" s="11"/>
    </row>
    <row r="510">
      <c r="A510" s="13" t="s">
        <v>11</v>
      </c>
      <c r="B510" s="9" t="str">
        <f>IFERROR(__xludf.DUMMYFUNCTION("""COMPUTED_VALUE"""),"邱O棋")</f>
        <v>邱O棋</v>
      </c>
      <c r="C510" s="9" t="str">
        <f>IFERROR(__xludf.DUMMYFUNCTION("""COMPUTED_VALUE"""),"std*****20@goo.tyai.tyc.edu.tw")</f>
        <v>std*****20@goo.tyai.tyc.edu.tw</v>
      </c>
      <c r="D510" s="9" t="str">
        <f>IFERROR(__xludf.DUMMYFUNCTION("""COMPUTED_VALUE"""),"國立臺北科技大學附屬桃園農工高級中等學校")</f>
        <v>國立臺北科技大學附屬桃園農工高級中等學校</v>
      </c>
      <c r="E510" s="9" t="str">
        <f>IFERROR(__xludf.DUMMYFUNCTION("""COMPUTED_VALUE"""),"畜保科")</f>
        <v>畜保科</v>
      </c>
      <c r="F510" s="9" t="str">
        <f>IFERROR(__xludf.DUMMYFUNCTION("""COMPUTED_VALUE"""),"三年級")</f>
        <v>三年級</v>
      </c>
      <c r="G510" s="9" t="str">
        <f>IFERROR(__xludf.DUMMYFUNCTION("""COMPUTED_VALUE"""),"獎狀")</f>
        <v>獎狀</v>
      </c>
      <c r="H510" s="11"/>
    </row>
    <row r="511">
      <c r="A511" s="13" t="s">
        <v>11</v>
      </c>
      <c r="B511" s="9" t="str">
        <f>IFERROR(__xludf.DUMMYFUNCTION("""COMPUTED_VALUE"""),"洪O茜")</f>
        <v>洪O茜</v>
      </c>
      <c r="C511" s="9" t="str">
        <f>IFERROR(__xludf.DUMMYFUNCTION("""COMPUTED_VALUE"""),"std*****06@goo.tyai.tyc.edu.tw")</f>
        <v>std*****06@goo.tyai.tyc.edu.tw</v>
      </c>
      <c r="D511" s="9" t="str">
        <f>IFERROR(__xludf.DUMMYFUNCTION("""COMPUTED_VALUE"""),"國立臺北科技大學附屬桃園農工高級中等學校")</f>
        <v>國立臺北科技大學附屬桃園農工高級中等學校</v>
      </c>
      <c r="E511" s="9" t="str">
        <f>IFERROR(__xludf.DUMMYFUNCTION("""COMPUTED_VALUE"""),"農經科")</f>
        <v>農經科</v>
      </c>
      <c r="F511" s="9" t="str">
        <f>IFERROR(__xludf.DUMMYFUNCTION("""COMPUTED_VALUE"""),"二年級")</f>
        <v>二年級</v>
      </c>
      <c r="G511" s="9" t="str">
        <f>IFERROR(__xludf.DUMMYFUNCTION("""COMPUTED_VALUE"""),"獎狀")</f>
        <v>獎狀</v>
      </c>
      <c r="H511" s="11"/>
    </row>
    <row r="512">
      <c r="A512" s="13" t="s">
        <v>11</v>
      </c>
      <c r="B512" s="9" t="str">
        <f>IFERROR(__xludf.DUMMYFUNCTION("""COMPUTED_VALUE"""),"鄧O瑋")</f>
        <v>鄧O瑋</v>
      </c>
      <c r="C512" s="9" t="str">
        <f>IFERROR(__xludf.DUMMYFUNCTION("""COMPUTED_VALUE"""),"bde*****182@mail.edu.tw")</f>
        <v>bde*****182@mail.edu.tw</v>
      </c>
      <c r="D512" s="9" t="str">
        <f>IFERROR(__xludf.DUMMYFUNCTION("""COMPUTED_VALUE"""),"國立臺北科技大學附屬桃園農工高級中等學校")</f>
        <v>國立臺北科技大學附屬桃園農工高級中等學校</v>
      </c>
      <c r="E512" s="9" t="str">
        <f>IFERROR(__xludf.DUMMYFUNCTION("""COMPUTED_VALUE"""),"電子科")</f>
        <v>電子科</v>
      </c>
      <c r="F512" s="9" t="str">
        <f>IFERROR(__xludf.DUMMYFUNCTION("""COMPUTED_VALUE"""),"三年級")</f>
        <v>三年級</v>
      </c>
      <c r="G512" s="9" t="str">
        <f>IFERROR(__xludf.DUMMYFUNCTION("""COMPUTED_VALUE"""),"獎狀")</f>
        <v>獎狀</v>
      </c>
      <c r="H512" s="9"/>
    </row>
    <row r="513">
      <c r="A513" s="13" t="s">
        <v>11</v>
      </c>
      <c r="B513" s="9" t="str">
        <f>IFERROR(__xludf.DUMMYFUNCTION("""COMPUTED_VALUE"""),"鄭O䕒")</f>
        <v>鄭O䕒</v>
      </c>
      <c r="C513" s="9" t="str">
        <f>IFERROR(__xludf.DUMMYFUNCTION("""COMPUTED_VALUE"""),"313*****ssh.tyc.edu.tw")</f>
        <v>313*****ssh.tyc.edu.tw</v>
      </c>
      <c r="D513" s="9" t="str">
        <f>IFERROR(__xludf.DUMMYFUNCTION("""COMPUTED_VALUE"""),"桃園市立壽山高級中等學校")</f>
        <v>桃園市立壽山高級中等學校</v>
      </c>
      <c r="E513" s="9" t="str">
        <f>IFERROR(__xludf.DUMMYFUNCTION("""COMPUTED_VALUE"""),"國際貿易科")</f>
        <v>國際貿易科</v>
      </c>
      <c r="F513" s="9" t="str">
        <f>IFERROR(__xludf.DUMMYFUNCTION("""COMPUTED_VALUE"""),"二年級")</f>
        <v>二年級</v>
      </c>
      <c r="G513" s="9" t="str">
        <f>IFERROR(__xludf.DUMMYFUNCTION("""COMPUTED_VALUE"""),"■商品卡$200")</f>
        <v>■商品卡$200</v>
      </c>
      <c r="H513" s="9"/>
    </row>
    <row r="514">
      <c r="A514" s="13" t="s">
        <v>11</v>
      </c>
      <c r="B514" s="9" t="str">
        <f>IFERROR(__xludf.DUMMYFUNCTION("""COMPUTED_VALUE"""),"黃O軒")</f>
        <v>黃O軒</v>
      </c>
      <c r="C514" s="9" t="str">
        <f>IFERROR(__xludf.DUMMYFUNCTION("""COMPUTED_VALUE"""),"215*****ssh.tyc.edu.tw")</f>
        <v>215*****ssh.tyc.edu.tw</v>
      </c>
      <c r="D514" s="9" t="str">
        <f>IFERROR(__xludf.DUMMYFUNCTION("""COMPUTED_VALUE"""),"桃園市立壽山高級中等學校")</f>
        <v>桃園市立壽山高級中等學校</v>
      </c>
      <c r="E514" s="9" t="str">
        <f>IFERROR(__xludf.DUMMYFUNCTION("""COMPUTED_VALUE"""),"應英科")</f>
        <v>應英科</v>
      </c>
      <c r="F514" s="9" t="str">
        <f>IFERROR(__xludf.DUMMYFUNCTION("""COMPUTED_VALUE"""),"三年級")</f>
        <v>三年級</v>
      </c>
      <c r="G514" s="9" t="str">
        <f>IFERROR(__xludf.DUMMYFUNCTION("""COMPUTED_VALUE"""),"獎狀")</f>
        <v>獎狀</v>
      </c>
      <c r="H514" s="9"/>
    </row>
    <row r="515">
      <c r="A515" s="13" t="s">
        <v>11</v>
      </c>
      <c r="B515" s="9" t="str">
        <f>IFERROR(__xludf.DUMMYFUNCTION("""COMPUTED_VALUE"""),"邱O盈")</f>
        <v>邱O盈</v>
      </c>
      <c r="C515" s="9" t="str">
        <f>IFERROR(__xludf.DUMMYFUNCTION("""COMPUTED_VALUE"""),"115*****ssh.tyc.edu.tw")</f>
        <v>115*****ssh.tyc.edu.tw</v>
      </c>
      <c r="D515" s="9" t="str">
        <f>IFERROR(__xludf.DUMMYFUNCTION("""COMPUTED_VALUE"""),"桃園市立壽山高級中等學校")</f>
        <v>桃園市立壽山高級中等學校</v>
      </c>
      <c r="E515" s="9" t="str">
        <f>IFERROR(__xludf.DUMMYFUNCTION("""COMPUTED_VALUE"""),"應英科")</f>
        <v>應英科</v>
      </c>
      <c r="F515" s="9" t="str">
        <f>IFERROR(__xludf.DUMMYFUNCTION("""COMPUTED_VALUE"""),"三年級")</f>
        <v>三年級</v>
      </c>
      <c r="G515" s="9" t="str">
        <f>IFERROR(__xludf.DUMMYFUNCTION("""COMPUTED_VALUE"""),"獎狀")</f>
        <v>獎狀</v>
      </c>
      <c r="H515" s="9"/>
    </row>
    <row r="516">
      <c r="A516" s="13" t="s">
        <v>11</v>
      </c>
      <c r="B516" s="9" t="str">
        <f>IFERROR(__xludf.DUMMYFUNCTION("""COMPUTED_VALUE"""),"林O妤")</f>
        <v>林O妤</v>
      </c>
      <c r="C516" s="9" t="str">
        <f>IFERROR(__xludf.DUMMYFUNCTION("""COMPUTED_VALUE"""),"215*****ssh.tyc.edu.tw")</f>
        <v>215*****ssh.tyc.edu.tw</v>
      </c>
      <c r="D516" s="9" t="str">
        <f>IFERROR(__xludf.DUMMYFUNCTION("""COMPUTED_VALUE"""),"桃園市立壽山高級中等學校")</f>
        <v>桃園市立壽山高級中等學校</v>
      </c>
      <c r="E516" s="9" t="str">
        <f>IFERROR(__xludf.DUMMYFUNCTION("""COMPUTED_VALUE"""),"應英科")</f>
        <v>應英科</v>
      </c>
      <c r="F516" s="9" t="str">
        <f>IFERROR(__xludf.DUMMYFUNCTION("""COMPUTED_VALUE"""),"三年級")</f>
        <v>三年級</v>
      </c>
      <c r="G516" s="9" t="str">
        <f>IFERROR(__xludf.DUMMYFUNCTION("""COMPUTED_VALUE"""),"★商品卡$1000")</f>
        <v>★商品卡$1000</v>
      </c>
      <c r="H516" s="9"/>
    </row>
    <row r="517">
      <c r="A517" s="13" t="s">
        <v>11</v>
      </c>
      <c r="B517" s="9" t="str">
        <f>IFERROR(__xludf.DUMMYFUNCTION("""COMPUTED_VALUE"""),"洪O潔")</f>
        <v>洪O潔</v>
      </c>
      <c r="C517" s="9" t="str">
        <f>IFERROR(__xludf.DUMMYFUNCTION("""COMPUTED_VALUE"""),"215*****ssh.tyc.edu.tw")</f>
        <v>215*****ssh.tyc.edu.tw</v>
      </c>
      <c r="D517" s="9" t="str">
        <f>IFERROR(__xludf.DUMMYFUNCTION("""COMPUTED_VALUE"""),"桃園市立壽山高級中等學校")</f>
        <v>桃園市立壽山高級中等學校</v>
      </c>
      <c r="E517" s="9" t="str">
        <f>IFERROR(__xludf.DUMMYFUNCTION("""COMPUTED_VALUE"""),"應英科")</f>
        <v>應英科</v>
      </c>
      <c r="F517" s="9" t="str">
        <f>IFERROR(__xludf.DUMMYFUNCTION("""COMPUTED_VALUE"""),"三年級")</f>
        <v>三年級</v>
      </c>
      <c r="G517" s="9" t="str">
        <f>IFERROR(__xludf.DUMMYFUNCTION("""COMPUTED_VALUE"""),"○商品卡$500")</f>
        <v>○商品卡$500</v>
      </c>
      <c r="H517" s="9"/>
    </row>
    <row r="518">
      <c r="A518" s="13" t="s">
        <v>11</v>
      </c>
      <c r="B518" s="9" t="str">
        <f>IFERROR(__xludf.DUMMYFUNCTION("""COMPUTED_VALUE"""),"游O甯")</f>
        <v>游O甯</v>
      </c>
      <c r="C518" s="9" t="str">
        <f>IFERROR(__xludf.DUMMYFUNCTION("""COMPUTED_VALUE"""),"215*****ssh.tyc.edu.tw")</f>
        <v>215*****ssh.tyc.edu.tw</v>
      </c>
      <c r="D518" s="9" t="str">
        <f>IFERROR(__xludf.DUMMYFUNCTION("""COMPUTED_VALUE"""),"桃園市立壽山高級中等學校")</f>
        <v>桃園市立壽山高級中等學校</v>
      </c>
      <c r="E518" s="9" t="str">
        <f>IFERROR(__xludf.DUMMYFUNCTION("""COMPUTED_VALUE"""),"應英科")</f>
        <v>應英科</v>
      </c>
      <c r="F518" s="9" t="str">
        <f>IFERROR(__xludf.DUMMYFUNCTION("""COMPUTED_VALUE"""),"三年級")</f>
        <v>三年級</v>
      </c>
      <c r="G518" s="9" t="str">
        <f>IFERROR(__xludf.DUMMYFUNCTION("""COMPUTED_VALUE"""),"獎狀")</f>
        <v>獎狀</v>
      </c>
      <c r="H518" s="9"/>
    </row>
    <row r="519">
      <c r="A519" s="13" t="s">
        <v>11</v>
      </c>
      <c r="B519" s="9" t="str">
        <f>IFERROR(__xludf.DUMMYFUNCTION("""COMPUTED_VALUE"""),"郭O頡")</f>
        <v>郭O頡</v>
      </c>
      <c r="C519" s="9" t="str">
        <f>IFERROR(__xludf.DUMMYFUNCTION("""COMPUTED_VALUE"""),"215*****ssh.tyc.edu.tw")</f>
        <v>215*****ssh.tyc.edu.tw</v>
      </c>
      <c r="D519" s="9" t="str">
        <f>IFERROR(__xludf.DUMMYFUNCTION("""COMPUTED_VALUE"""),"桃園市立壽山高級中等學校")</f>
        <v>桃園市立壽山高級中等學校</v>
      </c>
      <c r="E519" s="9" t="str">
        <f>IFERROR(__xludf.DUMMYFUNCTION("""COMPUTED_VALUE"""),"應英科")</f>
        <v>應英科</v>
      </c>
      <c r="F519" s="9" t="str">
        <f>IFERROR(__xludf.DUMMYFUNCTION("""COMPUTED_VALUE"""),"三年級")</f>
        <v>三年級</v>
      </c>
      <c r="G519" s="9" t="str">
        <f>IFERROR(__xludf.DUMMYFUNCTION("""COMPUTED_VALUE"""),"獎狀")</f>
        <v>獎狀</v>
      </c>
      <c r="H519" s="9"/>
    </row>
    <row r="520">
      <c r="A520" s="13" t="s">
        <v>11</v>
      </c>
      <c r="B520" s="9" t="str">
        <f>IFERROR(__xludf.DUMMYFUNCTION("""COMPUTED_VALUE"""),"林O芯")</f>
        <v>林O芯</v>
      </c>
      <c r="C520" s="9" t="str">
        <f>IFERROR(__xludf.DUMMYFUNCTION("""COMPUTED_VALUE"""),"215*****ssh.tyc.edu.tw")</f>
        <v>215*****ssh.tyc.edu.tw</v>
      </c>
      <c r="D520" s="9" t="str">
        <f>IFERROR(__xludf.DUMMYFUNCTION("""COMPUTED_VALUE"""),"桃園市立壽山高級中等學校")</f>
        <v>桃園市立壽山高級中等學校</v>
      </c>
      <c r="E520" s="9" t="str">
        <f>IFERROR(__xludf.DUMMYFUNCTION("""COMPUTED_VALUE"""),"應英科")</f>
        <v>應英科</v>
      </c>
      <c r="F520" s="9" t="str">
        <f>IFERROR(__xludf.DUMMYFUNCTION("""COMPUTED_VALUE"""),"三年級")</f>
        <v>三年級</v>
      </c>
      <c r="G520" s="9" t="str">
        <f>IFERROR(__xludf.DUMMYFUNCTION("""COMPUTED_VALUE"""),"★商品卡$1000")</f>
        <v>★商品卡$1000</v>
      </c>
      <c r="H520" s="9"/>
    </row>
    <row r="521">
      <c r="A521" s="13" t="s">
        <v>11</v>
      </c>
      <c r="B521" s="9" t="str">
        <f>IFERROR(__xludf.DUMMYFUNCTION("""COMPUTED_VALUE"""),"張O惠")</f>
        <v>張O惠</v>
      </c>
      <c r="C521" s="9" t="str">
        <f>IFERROR(__xludf.DUMMYFUNCTION("""COMPUTED_VALUE"""),"215*****ssh.tyc.edu.tw")</f>
        <v>215*****ssh.tyc.edu.tw</v>
      </c>
      <c r="D521" s="9" t="str">
        <f>IFERROR(__xludf.DUMMYFUNCTION("""COMPUTED_VALUE"""),"桃園市立壽山高級中等學校")</f>
        <v>桃園市立壽山高級中等學校</v>
      </c>
      <c r="E521" s="9" t="str">
        <f>IFERROR(__xludf.DUMMYFUNCTION("""COMPUTED_VALUE"""),"應英科")</f>
        <v>應英科</v>
      </c>
      <c r="F521" s="9" t="str">
        <f>IFERROR(__xludf.DUMMYFUNCTION("""COMPUTED_VALUE"""),"三年級")</f>
        <v>三年級</v>
      </c>
      <c r="G521" s="9" t="str">
        <f>IFERROR(__xludf.DUMMYFUNCTION("""COMPUTED_VALUE"""),"獎狀")</f>
        <v>獎狀</v>
      </c>
      <c r="H521" s="9"/>
    </row>
    <row r="522">
      <c r="A522" s="13" t="s">
        <v>11</v>
      </c>
      <c r="B522" s="9" t="str">
        <f>IFERROR(__xludf.DUMMYFUNCTION("""COMPUTED_VALUE"""),"蔡O潔")</f>
        <v>蔡O潔</v>
      </c>
      <c r="C522" s="9" t="str">
        <f>IFERROR(__xludf.DUMMYFUNCTION("""COMPUTED_VALUE"""),"215*****ssh.tyc.edu.tw")</f>
        <v>215*****ssh.tyc.edu.tw</v>
      </c>
      <c r="D522" s="9" t="str">
        <f>IFERROR(__xludf.DUMMYFUNCTION("""COMPUTED_VALUE"""),"桃園市立壽山高級中等學校")</f>
        <v>桃園市立壽山高級中等學校</v>
      </c>
      <c r="E522" s="9" t="str">
        <f>IFERROR(__xludf.DUMMYFUNCTION("""COMPUTED_VALUE"""),"應英科")</f>
        <v>應英科</v>
      </c>
      <c r="F522" s="9" t="str">
        <f>IFERROR(__xludf.DUMMYFUNCTION("""COMPUTED_VALUE"""),"三年級")</f>
        <v>三年級</v>
      </c>
      <c r="G522" s="9" t="str">
        <f>IFERROR(__xludf.DUMMYFUNCTION("""COMPUTED_VALUE"""),"獎狀")</f>
        <v>獎狀</v>
      </c>
      <c r="H522" s="9"/>
    </row>
    <row r="523">
      <c r="A523" s="13" t="s">
        <v>11</v>
      </c>
      <c r="B523" s="9" t="str">
        <f>IFERROR(__xludf.DUMMYFUNCTION("""COMPUTED_VALUE"""),"高O珊")</f>
        <v>高O珊</v>
      </c>
      <c r="C523" s="9" t="str">
        <f>IFERROR(__xludf.DUMMYFUNCTION("""COMPUTED_VALUE"""),"215*****ssh.tyc.edu.tw")</f>
        <v>215*****ssh.tyc.edu.tw</v>
      </c>
      <c r="D523" s="9" t="str">
        <f>IFERROR(__xludf.DUMMYFUNCTION("""COMPUTED_VALUE"""),"桃園市立壽山高級中等學校")</f>
        <v>桃園市立壽山高級中等學校</v>
      </c>
      <c r="E523" s="9" t="str">
        <f>IFERROR(__xludf.DUMMYFUNCTION("""COMPUTED_VALUE"""),"應英科")</f>
        <v>應英科</v>
      </c>
      <c r="F523" s="9" t="str">
        <f>IFERROR(__xludf.DUMMYFUNCTION("""COMPUTED_VALUE"""),"三年級")</f>
        <v>三年級</v>
      </c>
      <c r="G523" s="9" t="str">
        <f>IFERROR(__xludf.DUMMYFUNCTION("""COMPUTED_VALUE"""),"獎狀")</f>
        <v>獎狀</v>
      </c>
      <c r="H523" s="9"/>
    </row>
    <row r="524">
      <c r="A524" s="13" t="s">
        <v>11</v>
      </c>
      <c r="B524" s="9" t="str">
        <f>IFERROR(__xludf.DUMMYFUNCTION("""COMPUTED_VALUE"""),"陳O蓉")</f>
        <v>陳O蓉</v>
      </c>
      <c r="C524" s="9" t="str">
        <f>IFERROR(__xludf.DUMMYFUNCTION("""COMPUTED_VALUE"""),"215*****ssh.tyc.edu.tw")</f>
        <v>215*****ssh.tyc.edu.tw</v>
      </c>
      <c r="D524" s="9" t="str">
        <f>IFERROR(__xludf.DUMMYFUNCTION("""COMPUTED_VALUE"""),"桃園市立壽山高級中等學校")</f>
        <v>桃園市立壽山高級中等學校</v>
      </c>
      <c r="E524" s="9" t="str">
        <f>IFERROR(__xludf.DUMMYFUNCTION("""COMPUTED_VALUE"""),"應英科")</f>
        <v>應英科</v>
      </c>
      <c r="F524" s="9" t="str">
        <f>IFERROR(__xludf.DUMMYFUNCTION("""COMPUTED_VALUE"""),"三年級")</f>
        <v>三年級</v>
      </c>
      <c r="G524" s="9" t="str">
        <f>IFERROR(__xludf.DUMMYFUNCTION("""COMPUTED_VALUE"""),"獎狀")</f>
        <v>獎狀</v>
      </c>
      <c r="H524" s="9"/>
    </row>
    <row r="525">
      <c r="A525" s="13" t="s">
        <v>11</v>
      </c>
      <c r="B525" s="9" t="str">
        <f>IFERROR(__xludf.DUMMYFUNCTION("""COMPUTED_VALUE"""),"張O茜")</f>
        <v>張O茜</v>
      </c>
      <c r="C525" s="9" t="str">
        <f>IFERROR(__xludf.DUMMYFUNCTION("""COMPUTED_VALUE"""),"215*****ssh.tyc.edu.tw")</f>
        <v>215*****ssh.tyc.edu.tw</v>
      </c>
      <c r="D525" s="9" t="str">
        <f>IFERROR(__xludf.DUMMYFUNCTION("""COMPUTED_VALUE"""),"桃園市立壽山高級中等學校")</f>
        <v>桃園市立壽山高級中等學校</v>
      </c>
      <c r="E525" s="9" t="str">
        <f>IFERROR(__xludf.DUMMYFUNCTION("""COMPUTED_VALUE"""),"應英科")</f>
        <v>應英科</v>
      </c>
      <c r="F525" s="9" t="str">
        <f>IFERROR(__xludf.DUMMYFUNCTION("""COMPUTED_VALUE"""),"三年級")</f>
        <v>三年級</v>
      </c>
      <c r="G525" s="9" t="str">
        <f>IFERROR(__xludf.DUMMYFUNCTION("""COMPUTED_VALUE"""),"獎狀")</f>
        <v>獎狀</v>
      </c>
      <c r="H525" s="9"/>
    </row>
    <row r="526">
      <c r="A526" s="13" t="s">
        <v>11</v>
      </c>
      <c r="B526" s="9" t="str">
        <f>IFERROR(__xludf.DUMMYFUNCTION("""COMPUTED_VALUE"""),"劉O睿")</f>
        <v>劉O睿</v>
      </c>
      <c r="C526" s="9" t="str">
        <f>IFERROR(__xludf.DUMMYFUNCTION("""COMPUTED_VALUE"""),"215*****ssh.tyc.edu.tw")</f>
        <v>215*****ssh.tyc.edu.tw</v>
      </c>
      <c r="D526" s="9" t="str">
        <f>IFERROR(__xludf.DUMMYFUNCTION("""COMPUTED_VALUE"""),"桃園市立壽山高級中等學校")</f>
        <v>桃園市立壽山高級中等學校</v>
      </c>
      <c r="E526" s="9" t="str">
        <f>IFERROR(__xludf.DUMMYFUNCTION("""COMPUTED_VALUE"""),"應英科")</f>
        <v>應英科</v>
      </c>
      <c r="F526" s="9" t="str">
        <f>IFERROR(__xludf.DUMMYFUNCTION("""COMPUTED_VALUE"""),"三年級")</f>
        <v>三年級</v>
      </c>
      <c r="G526" s="9" t="str">
        <f>IFERROR(__xludf.DUMMYFUNCTION("""COMPUTED_VALUE"""),"獎狀")</f>
        <v>獎狀</v>
      </c>
      <c r="H526" s="9"/>
    </row>
    <row r="527">
      <c r="A527" s="13" t="s">
        <v>11</v>
      </c>
      <c r="B527" s="9" t="str">
        <f>IFERROR(__xludf.DUMMYFUNCTION("""COMPUTED_VALUE"""),"楊O榛")</f>
        <v>楊O榛</v>
      </c>
      <c r="C527" s="9" t="str">
        <f>IFERROR(__xludf.DUMMYFUNCTION("""COMPUTED_VALUE"""),"215*****ssh.tyc.edu.tw")</f>
        <v>215*****ssh.tyc.edu.tw</v>
      </c>
      <c r="D527" s="9" t="str">
        <f>IFERROR(__xludf.DUMMYFUNCTION("""COMPUTED_VALUE"""),"桃園市立壽山高級中等學校")</f>
        <v>桃園市立壽山高級中等學校</v>
      </c>
      <c r="E527" s="9" t="str">
        <f>IFERROR(__xludf.DUMMYFUNCTION("""COMPUTED_VALUE"""),"應英科")</f>
        <v>應英科</v>
      </c>
      <c r="F527" s="9" t="str">
        <f>IFERROR(__xludf.DUMMYFUNCTION("""COMPUTED_VALUE"""),"三年級")</f>
        <v>三年級</v>
      </c>
      <c r="G527" s="9" t="str">
        <f>IFERROR(__xludf.DUMMYFUNCTION("""COMPUTED_VALUE"""),"獎狀")</f>
        <v>獎狀</v>
      </c>
      <c r="H527" s="9"/>
    </row>
    <row r="528">
      <c r="A528" s="13" t="s">
        <v>11</v>
      </c>
      <c r="B528" s="9" t="str">
        <f>IFERROR(__xludf.DUMMYFUNCTION("""COMPUTED_VALUE"""),"徐O雯")</f>
        <v>徐O雯</v>
      </c>
      <c r="C528" s="9" t="str">
        <f>IFERROR(__xludf.DUMMYFUNCTION("""COMPUTED_VALUE"""),"215*****ssh.tyc.edu.tw")</f>
        <v>215*****ssh.tyc.edu.tw</v>
      </c>
      <c r="D528" s="9" t="str">
        <f>IFERROR(__xludf.DUMMYFUNCTION("""COMPUTED_VALUE"""),"桃園市立壽山高級中等學校")</f>
        <v>桃園市立壽山高級中等學校</v>
      </c>
      <c r="E528" s="9" t="str">
        <f>IFERROR(__xludf.DUMMYFUNCTION("""COMPUTED_VALUE"""),"應英科")</f>
        <v>應英科</v>
      </c>
      <c r="F528" s="9" t="str">
        <f>IFERROR(__xludf.DUMMYFUNCTION("""COMPUTED_VALUE"""),"三年級")</f>
        <v>三年級</v>
      </c>
      <c r="G528" s="9" t="str">
        <f>IFERROR(__xludf.DUMMYFUNCTION("""COMPUTED_VALUE"""),"■商品卡$200")</f>
        <v>■商品卡$200</v>
      </c>
      <c r="H528" s="9"/>
    </row>
    <row r="529">
      <c r="A529" s="13" t="s">
        <v>11</v>
      </c>
      <c r="B529" s="9" t="str">
        <f>IFERROR(__xludf.DUMMYFUNCTION("""COMPUTED_VALUE"""),"吳O婷")</f>
        <v>吳O婷</v>
      </c>
      <c r="C529" s="9" t="str">
        <f>IFERROR(__xludf.DUMMYFUNCTION("""COMPUTED_VALUE"""),"215*****ssh.tyc.edu.tw")</f>
        <v>215*****ssh.tyc.edu.tw</v>
      </c>
      <c r="D529" s="9" t="str">
        <f>IFERROR(__xludf.DUMMYFUNCTION("""COMPUTED_VALUE"""),"桃園市立壽山高級中等學校")</f>
        <v>桃園市立壽山高級中等學校</v>
      </c>
      <c r="E529" s="9" t="str">
        <f>IFERROR(__xludf.DUMMYFUNCTION("""COMPUTED_VALUE"""),"應英科")</f>
        <v>應英科</v>
      </c>
      <c r="F529" s="9" t="str">
        <f>IFERROR(__xludf.DUMMYFUNCTION("""COMPUTED_VALUE"""),"三年級")</f>
        <v>三年級</v>
      </c>
      <c r="G529" s="9" t="str">
        <f>IFERROR(__xludf.DUMMYFUNCTION("""COMPUTED_VALUE"""),"獎狀")</f>
        <v>獎狀</v>
      </c>
      <c r="H529" s="9"/>
    </row>
    <row r="530">
      <c r="A530" s="13" t="s">
        <v>11</v>
      </c>
      <c r="B530" s="9" t="str">
        <f>IFERROR(__xludf.DUMMYFUNCTION("""COMPUTED_VALUE"""),"廖O晴")</f>
        <v>廖O晴</v>
      </c>
      <c r="C530" s="9" t="str">
        <f>IFERROR(__xludf.DUMMYFUNCTION("""COMPUTED_VALUE"""),"215*****ssh.tyc.edu.tw")</f>
        <v>215*****ssh.tyc.edu.tw</v>
      </c>
      <c r="D530" s="9" t="str">
        <f>IFERROR(__xludf.DUMMYFUNCTION("""COMPUTED_VALUE"""),"桃園市立壽山高級中等學校")</f>
        <v>桃園市立壽山高級中等學校</v>
      </c>
      <c r="E530" s="9" t="str">
        <f>IFERROR(__xludf.DUMMYFUNCTION("""COMPUTED_VALUE"""),"應英科")</f>
        <v>應英科</v>
      </c>
      <c r="F530" s="9" t="str">
        <f>IFERROR(__xludf.DUMMYFUNCTION("""COMPUTED_VALUE"""),"三年級")</f>
        <v>三年級</v>
      </c>
      <c r="G530" s="9" t="str">
        <f>IFERROR(__xludf.DUMMYFUNCTION("""COMPUTED_VALUE"""),"獎狀")</f>
        <v>獎狀</v>
      </c>
      <c r="H530" s="9"/>
    </row>
    <row r="531">
      <c r="A531" s="13" t="s">
        <v>11</v>
      </c>
      <c r="B531" s="9" t="str">
        <f>IFERROR(__xludf.DUMMYFUNCTION("""COMPUTED_VALUE"""),"楊O萱")</f>
        <v>楊O萱</v>
      </c>
      <c r="C531" s="9" t="str">
        <f>IFERROR(__xludf.DUMMYFUNCTION("""COMPUTED_VALUE"""),"215*****ssh.tyc.edu.tw")</f>
        <v>215*****ssh.tyc.edu.tw</v>
      </c>
      <c r="D531" s="9" t="str">
        <f>IFERROR(__xludf.DUMMYFUNCTION("""COMPUTED_VALUE"""),"桃園市立壽山高級中等學校")</f>
        <v>桃園市立壽山高級中等學校</v>
      </c>
      <c r="E531" s="9" t="str">
        <f>IFERROR(__xludf.DUMMYFUNCTION("""COMPUTED_VALUE"""),"應英科")</f>
        <v>應英科</v>
      </c>
      <c r="F531" s="9" t="str">
        <f>IFERROR(__xludf.DUMMYFUNCTION("""COMPUTED_VALUE"""),"三年級")</f>
        <v>三年級</v>
      </c>
      <c r="G531" s="9" t="str">
        <f>IFERROR(__xludf.DUMMYFUNCTION("""COMPUTED_VALUE"""),"獎狀")</f>
        <v>獎狀</v>
      </c>
      <c r="H531" s="9"/>
    </row>
    <row r="532">
      <c r="A532" s="13" t="s">
        <v>11</v>
      </c>
      <c r="B532" s="9" t="str">
        <f>IFERROR(__xludf.DUMMYFUNCTION("""COMPUTED_VALUE"""),"林O潔")</f>
        <v>林O潔</v>
      </c>
      <c r="C532" s="9" t="str">
        <f>IFERROR(__xludf.DUMMYFUNCTION("""COMPUTED_VALUE"""),"215*****ssh.tyc.edu.tw")</f>
        <v>215*****ssh.tyc.edu.tw</v>
      </c>
      <c r="D532" s="9" t="str">
        <f>IFERROR(__xludf.DUMMYFUNCTION("""COMPUTED_VALUE"""),"桃園市立壽山高級中等學校")</f>
        <v>桃園市立壽山高級中等學校</v>
      </c>
      <c r="E532" s="9" t="str">
        <f>IFERROR(__xludf.DUMMYFUNCTION("""COMPUTED_VALUE"""),"應英科")</f>
        <v>應英科</v>
      </c>
      <c r="F532" s="9" t="str">
        <f>IFERROR(__xludf.DUMMYFUNCTION("""COMPUTED_VALUE"""),"三年級")</f>
        <v>三年級</v>
      </c>
      <c r="G532" s="9" t="str">
        <f>IFERROR(__xludf.DUMMYFUNCTION("""COMPUTED_VALUE"""),"獎狀")</f>
        <v>獎狀</v>
      </c>
      <c r="H532" s="9"/>
    </row>
    <row r="533">
      <c r="A533" s="13" t="s">
        <v>11</v>
      </c>
      <c r="B533" s="9" t="str">
        <f>IFERROR(__xludf.DUMMYFUNCTION("""COMPUTED_VALUE"""),"陳O菁")</f>
        <v>陳O菁</v>
      </c>
      <c r="C533" s="9" t="str">
        <f>IFERROR(__xludf.DUMMYFUNCTION("""COMPUTED_VALUE"""),"215*****ssh.tyc.edu.tw")</f>
        <v>215*****ssh.tyc.edu.tw</v>
      </c>
      <c r="D533" s="9" t="str">
        <f>IFERROR(__xludf.DUMMYFUNCTION("""COMPUTED_VALUE"""),"桃園市立壽山高級中等學校")</f>
        <v>桃園市立壽山高級中等學校</v>
      </c>
      <c r="E533" s="9" t="str">
        <f>IFERROR(__xludf.DUMMYFUNCTION("""COMPUTED_VALUE"""),"應英科")</f>
        <v>應英科</v>
      </c>
      <c r="F533" s="9" t="str">
        <f>IFERROR(__xludf.DUMMYFUNCTION("""COMPUTED_VALUE"""),"三年級")</f>
        <v>三年級</v>
      </c>
      <c r="G533" s="9" t="str">
        <f>IFERROR(__xludf.DUMMYFUNCTION("""COMPUTED_VALUE"""),"○商品卡$500")</f>
        <v>○商品卡$500</v>
      </c>
      <c r="H533" s="9"/>
    </row>
    <row r="534">
      <c r="A534" s="13" t="s">
        <v>11</v>
      </c>
      <c r="B534" s="9" t="str">
        <f>IFERROR(__xludf.DUMMYFUNCTION("""COMPUTED_VALUE"""),"陳O玲")</f>
        <v>陳O玲</v>
      </c>
      <c r="C534" s="9" t="str">
        <f>IFERROR(__xludf.DUMMYFUNCTION("""COMPUTED_VALUE"""),"215*****ssh.tyc.edu.tw")</f>
        <v>215*****ssh.tyc.edu.tw</v>
      </c>
      <c r="D534" s="9" t="str">
        <f>IFERROR(__xludf.DUMMYFUNCTION("""COMPUTED_VALUE"""),"桃園市立壽山高級中等學校")</f>
        <v>桃園市立壽山高級中等學校</v>
      </c>
      <c r="E534" s="9" t="str">
        <f>IFERROR(__xludf.DUMMYFUNCTION("""COMPUTED_VALUE"""),"應英科")</f>
        <v>應英科</v>
      </c>
      <c r="F534" s="9" t="str">
        <f>IFERROR(__xludf.DUMMYFUNCTION("""COMPUTED_VALUE"""),"三年級")</f>
        <v>三年級</v>
      </c>
      <c r="G534" s="9" t="str">
        <f>IFERROR(__xludf.DUMMYFUNCTION("""COMPUTED_VALUE"""),"■商品卡$200")</f>
        <v>■商品卡$200</v>
      </c>
      <c r="H534" s="9"/>
    </row>
    <row r="535">
      <c r="A535" s="13" t="s">
        <v>11</v>
      </c>
      <c r="B535" s="9" t="str">
        <f>IFERROR(__xludf.DUMMYFUNCTION("""COMPUTED_VALUE"""),"劉O希")</f>
        <v>劉O希</v>
      </c>
      <c r="C535" s="9" t="str">
        <f>IFERROR(__xludf.DUMMYFUNCTION("""COMPUTED_VALUE"""),"215*****ssh.tyc.edu.tw")</f>
        <v>215*****ssh.tyc.edu.tw</v>
      </c>
      <c r="D535" s="9" t="str">
        <f>IFERROR(__xludf.DUMMYFUNCTION("""COMPUTED_VALUE"""),"桃園市立壽山高級中等學校")</f>
        <v>桃園市立壽山高級中等學校</v>
      </c>
      <c r="E535" s="9" t="str">
        <f>IFERROR(__xludf.DUMMYFUNCTION("""COMPUTED_VALUE"""),"應英科")</f>
        <v>應英科</v>
      </c>
      <c r="F535" s="9" t="str">
        <f>IFERROR(__xludf.DUMMYFUNCTION("""COMPUTED_VALUE"""),"三年級")</f>
        <v>三年級</v>
      </c>
      <c r="G535" s="9" t="str">
        <f>IFERROR(__xludf.DUMMYFUNCTION("""COMPUTED_VALUE"""),"獎狀")</f>
        <v>獎狀</v>
      </c>
      <c r="H535" s="9"/>
    </row>
    <row r="536">
      <c r="A536" s="13" t="s">
        <v>11</v>
      </c>
      <c r="B536" s="9" t="str">
        <f>IFERROR(__xludf.DUMMYFUNCTION("""COMPUTED_VALUE"""),"蔡O濂")</f>
        <v>蔡O濂</v>
      </c>
      <c r="C536" s="9" t="str">
        <f>IFERROR(__xludf.DUMMYFUNCTION("""COMPUTED_VALUE"""),"215*****ssh.tyc.edu.tw")</f>
        <v>215*****ssh.tyc.edu.tw</v>
      </c>
      <c r="D536" s="9" t="str">
        <f>IFERROR(__xludf.DUMMYFUNCTION("""COMPUTED_VALUE"""),"桃園市立壽山高級中等學校")</f>
        <v>桃園市立壽山高級中等學校</v>
      </c>
      <c r="E536" s="9" t="str">
        <f>IFERROR(__xludf.DUMMYFUNCTION("""COMPUTED_VALUE"""),"應英科")</f>
        <v>應英科</v>
      </c>
      <c r="F536" s="9" t="str">
        <f>IFERROR(__xludf.DUMMYFUNCTION("""COMPUTED_VALUE"""),"三年級")</f>
        <v>三年級</v>
      </c>
      <c r="G536" s="9" t="str">
        <f>IFERROR(__xludf.DUMMYFUNCTION("""COMPUTED_VALUE"""),"獎狀")</f>
        <v>獎狀</v>
      </c>
      <c r="H536" s="9"/>
    </row>
    <row r="537">
      <c r="A537" s="13" t="s">
        <v>11</v>
      </c>
      <c r="B537" s="9" t="str">
        <f>IFERROR(__xludf.DUMMYFUNCTION("""COMPUTED_VALUE"""),"陳O璇")</f>
        <v>陳O璇</v>
      </c>
      <c r="C537" s="9" t="str">
        <f>IFERROR(__xludf.DUMMYFUNCTION("""COMPUTED_VALUE"""),"215*****ssh.tyc.edu.tw")</f>
        <v>215*****ssh.tyc.edu.tw</v>
      </c>
      <c r="D537" s="9" t="str">
        <f>IFERROR(__xludf.DUMMYFUNCTION("""COMPUTED_VALUE"""),"桃園市立壽山高級中等學校")</f>
        <v>桃園市立壽山高級中等學校</v>
      </c>
      <c r="E537" s="9" t="str">
        <f>IFERROR(__xludf.DUMMYFUNCTION("""COMPUTED_VALUE"""),"應英科")</f>
        <v>應英科</v>
      </c>
      <c r="F537" s="9" t="str">
        <f>IFERROR(__xludf.DUMMYFUNCTION("""COMPUTED_VALUE"""),"三年級")</f>
        <v>三年級</v>
      </c>
      <c r="G537" s="9" t="str">
        <f>IFERROR(__xludf.DUMMYFUNCTION("""COMPUTED_VALUE"""),"獎狀")</f>
        <v>獎狀</v>
      </c>
      <c r="H537" s="9"/>
    </row>
    <row r="538">
      <c r="A538" s="13" t="s">
        <v>11</v>
      </c>
      <c r="B538" s="9" t="str">
        <f>IFERROR(__xludf.DUMMYFUNCTION("""COMPUTED_VALUE"""),"郭O帆")</f>
        <v>郭O帆</v>
      </c>
      <c r="C538" s="9" t="str">
        <f>IFERROR(__xludf.DUMMYFUNCTION("""COMPUTED_VALUE"""),"215*****ssh.tyc.edu.tw")</f>
        <v>215*****ssh.tyc.edu.tw</v>
      </c>
      <c r="D538" s="9" t="str">
        <f>IFERROR(__xludf.DUMMYFUNCTION("""COMPUTED_VALUE"""),"桃園市立壽山高級中等學校")</f>
        <v>桃園市立壽山高級中等學校</v>
      </c>
      <c r="E538" s="9" t="str">
        <f>IFERROR(__xludf.DUMMYFUNCTION("""COMPUTED_VALUE"""),"應英科")</f>
        <v>應英科</v>
      </c>
      <c r="F538" s="9" t="str">
        <f>IFERROR(__xludf.DUMMYFUNCTION("""COMPUTED_VALUE"""),"三年級")</f>
        <v>三年級</v>
      </c>
      <c r="G538" s="9" t="str">
        <f>IFERROR(__xludf.DUMMYFUNCTION("""COMPUTED_VALUE"""),"○商品卡$500")</f>
        <v>○商品卡$500</v>
      </c>
      <c r="H538" s="9"/>
    </row>
    <row r="539">
      <c r="A539" s="13" t="s">
        <v>11</v>
      </c>
      <c r="B539" s="9" t="str">
        <f>IFERROR(__xludf.DUMMYFUNCTION("""COMPUTED_VALUE"""),"吳O蓁")</f>
        <v>吳O蓁</v>
      </c>
      <c r="C539" s="9" t="str">
        <f>IFERROR(__xludf.DUMMYFUNCTION("""COMPUTED_VALUE"""),"215*****ssh.tyc.edu.tw")</f>
        <v>215*****ssh.tyc.edu.tw</v>
      </c>
      <c r="D539" s="9" t="str">
        <f>IFERROR(__xludf.DUMMYFUNCTION("""COMPUTED_VALUE"""),"桃園市立壽山高級中等學校")</f>
        <v>桃園市立壽山高級中等學校</v>
      </c>
      <c r="E539" s="9" t="str">
        <f>IFERROR(__xludf.DUMMYFUNCTION("""COMPUTED_VALUE"""),"應英科")</f>
        <v>應英科</v>
      </c>
      <c r="F539" s="9" t="str">
        <f>IFERROR(__xludf.DUMMYFUNCTION("""COMPUTED_VALUE"""),"三年級")</f>
        <v>三年級</v>
      </c>
      <c r="G539" s="9" t="str">
        <f>IFERROR(__xludf.DUMMYFUNCTION("""COMPUTED_VALUE"""),"■商品卡$200")</f>
        <v>■商品卡$200</v>
      </c>
      <c r="H539" s="9"/>
    </row>
    <row r="540">
      <c r="A540" s="13" t="s">
        <v>11</v>
      </c>
      <c r="B540" s="9" t="str">
        <f>IFERROR(__xludf.DUMMYFUNCTION("""COMPUTED_VALUE"""),"陳O穎")</f>
        <v>陳O穎</v>
      </c>
      <c r="C540" s="9" t="str">
        <f>IFERROR(__xludf.DUMMYFUNCTION("""COMPUTED_VALUE"""),"215*****ssh.tyc.edu.tw")</f>
        <v>215*****ssh.tyc.edu.tw</v>
      </c>
      <c r="D540" s="9" t="str">
        <f>IFERROR(__xludf.DUMMYFUNCTION("""COMPUTED_VALUE"""),"桃園市立壽山高級中等學校")</f>
        <v>桃園市立壽山高級中等學校</v>
      </c>
      <c r="E540" s="9" t="str">
        <f>IFERROR(__xludf.DUMMYFUNCTION("""COMPUTED_VALUE"""),"應英科")</f>
        <v>應英科</v>
      </c>
      <c r="F540" s="9" t="str">
        <f>IFERROR(__xludf.DUMMYFUNCTION("""COMPUTED_VALUE"""),"三年級")</f>
        <v>三年級</v>
      </c>
      <c r="G540" s="9" t="str">
        <f>IFERROR(__xludf.DUMMYFUNCTION("""COMPUTED_VALUE"""),"獎狀")</f>
        <v>獎狀</v>
      </c>
      <c r="H540" s="9"/>
    </row>
    <row r="541">
      <c r="A541" s="13" t="s">
        <v>11</v>
      </c>
      <c r="B541" s="9" t="str">
        <f>IFERROR(__xludf.DUMMYFUNCTION("""COMPUTED_VALUE"""),"林O柔")</f>
        <v>林O柔</v>
      </c>
      <c r="C541" s="9" t="str">
        <f>IFERROR(__xludf.DUMMYFUNCTION("""COMPUTED_VALUE"""),"215*****ssh.tyc.edu.tw")</f>
        <v>215*****ssh.tyc.edu.tw</v>
      </c>
      <c r="D541" s="9" t="str">
        <f>IFERROR(__xludf.DUMMYFUNCTION("""COMPUTED_VALUE"""),"桃園市立壽山高級中等學校")</f>
        <v>桃園市立壽山高級中等學校</v>
      </c>
      <c r="E541" s="9" t="str">
        <f>IFERROR(__xludf.DUMMYFUNCTION("""COMPUTED_VALUE"""),"應英科")</f>
        <v>應英科</v>
      </c>
      <c r="F541" s="9" t="str">
        <f>IFERROR(__xludf.DUMMYFUNCTION("""COMPUTED_VALUE"""),"三年級")</f>
        <v>三年級</v>
      </c>
      <c r="G541" s="9" t="str">
        <f>IFERROR(__xludf.DUMMYFUNCTION("""COMPUTED_VALUE"""),"■商品卡$200")</f>
        <v>■商品卡$200</v>
      </c>
      <c r="H541" s="9"/>
    </row>
    <row r="542">
      <c r="A542" s="13" t="s">
        <v>11</v>
      </c>
      <c r="B542" s="9" t="str">
        <f>IFERROR(__xludf.DUMMYFUNCTION("""COMPUTED_VALUE"""),"劉O寧")</f>
        <v>劉O寧</v>
      </c>
      <c r="C542" s="9" t="str">
        <f>IFERROR(__xludf.DUMMYFUNCTION("""COMPUTED_VALUE"""),"215*****ssh.tyc.edu.tw")</f>
        <v>215*****ssh.tyc.edu.tw</v>
      </c>
      <c r="D542" s="9" t="str">
        <f>IFERROR(__xludf.DUMMYFUNCTION("""COMPUTED_VALUE"""),"桃園市立壽山高級中等學校")</f>
        <v>桃園市立壽山高級中等學校</v>
      </c>
      <c r="E542" s="9" t="str">
        <f>IFERROR(__xludf.DUMMYFUNCTION("""COMPUTED_VALUE"""),"應英科")</f>
        <v>應英科</v>
      </c>
      <c r="F542" s="9" t="str">
        <f>IFERROR(__xludf.DUMMYFUNCTION("""COMPUTED_VALUE"""),"三年級")</f>
        <v>三年級</v>
      </c>
      <c r="G542" s="9" t="str">
        <f>IFERROR(__xludf.DUMMYFUNCTION("""COMPUTED_VALUE"""),"獎狀")</f>
        <v>獎狀</v>
      </c>
      <c r="H542" s="9"/>
    </row>
    <row r="543">
      <c r="A543" s="13" t="s">
        <v>11</v>
      </c>
      <c r="B543" s="9" t="str">
        <f>IFERROR(__xludf.DUMMYFUNCTION("""COMPUTED_VALUE"""),"陳O茹")</f>
        <v>陳O茹</v>
      </c>
      <c r="C543" s="9" t="str">
        <f>IFERROR(__xludf.DUMMYFUNCTION("""COMPUTED_VALUE"""),"215*****ssh.tyc.edu.tw")</f>
        <v>215*****ssh.tyc.edu.tw</v>
      </c>
      <c r="D543" s="9" t="str">
        <f>IFERROR(__xludf.DUMMYFUNCTION("""COMPUTED_VALUE"""),"桃園市立壽山高級中等學校")</f>
        <v>桃園市立壽山高級中等學校</v>
      </c>
      <c r="E543" s="9" t="str">
        <f>IFERROR(__xludf.DUMMYFUNCTION("""COMPUTED_VALUE"""),"應英科")</f>
        <v>應英科</v>
      </c>
      <c r="F543" s="9" t="str">
        <f>IFERROR(__xludf.DUMMYFUNCTION("""COMPUTED_VALUE"""),"三年級")</f>
        <v>三年級</v>
      </c>
      <c r="G543" s="9" t="str">
        <f>IFERROR(__xludf.DUMMYFUNCTION("""COMPUTED_VALUE"""),"獎狀")</f>
        <v>獎狀</v>
      </c>
      <c r="H543" s="9"/>
    </row>
    <row r="544">
      <c r="A544" s="13" t="s">
        <v>11</v>
      </c>
      <c r="B544" s="9" t="str">
        <f>IFERROR(__xludf.DUMMYFUNCTION("""COMPUTED_VALUE"""),"許O琳")</f>
        <v>許O琳</v>
      </c>
      <c r="C544" s="9" t="str">
        <f>IFERROR(__xludf.DUMMYFUNCTION("""COMPUTED_VALUE"""),"215*****ssh.tyc.edu.tw")</f>
        <v>215*****ssh.tyc.edu.tw</v>
      </c>
      <c r="D544" s="9" t="str">
        <f>IFERROR(__xludf.DUMMYFUNCTION("""COMPUTED_VALUE"""),"桃園市立壽山高級中等學校")</f>
        <v>桃園市立壽山高級中等學校</v>
      </c>
      <c r="E544" s="9" t="str">
        <f>IFERROR(__xludf.DUMMYFUNCTION("""COMPUTED_VALUE"""),"應英科")</f>
        <v>應英科</v>
      </c>
      <c r="F544" s="9" t="str">
        <f>IFERROR(__xludf.DUMMYFUNCTION("""COMPUTED_VALUE"""),"三年級")</f>
        <v>三年級</v>
      </c>
      <c r="G544" s="9" t="str">
        <f>IFERROR(__xludf.DUMMYFUNCTION("""COMPUTED_VALUE"""),"獎狀")</f>
        <v>獎狀</v>
      </c>
      <c r="H544" s="9"/>
    </row>
    <row r="545">
      <c r="A545" s="13" t="s">
        <v>11</v>
      </c>
      <c r="B545" s="9" t="str">
        <f>IFERROR(__xludf.DUMMYFUNCTION("""COMPUTED_VALUE"""),"蕭O珊")</f>
        <v>蕭O珊</v>
      </c>
      <c r="C545" s="9" t="str">
        <f>IFERROR(__xludf.DUMMYFUNCTION("""COMPUTED_VALUE"""),"215*****ssh.tyc.edu.tw")</f>
        <v>215*****ssh.tyc.edu.tw</v>
      </c>
      <c r="D545" s="9" t="str">
        <f>IFERROR(__xludf.DUMMYFUNCTION("""COMPUTED_VALUE"""),"桃園市立壽山高級中等學校")</f>
        <v>桃園市立壽山高級中等學校</v>
      </c>
      <c r="E545" s="9" t="str">
        <f>IFERROR(__xludf.DUMMYFUNCTION("""COMPUTED_VALUE"""),"應英科")</f>
        <v>應英科</v>
      </c>
      <c r="F545" s="9" t="str">
        <f>IFERROR(__xludf.DUMMYFUNCTION("""COMPUTED_VALUE"""),"三年級")</f>
        <v>三年級</v>
      </c>
      <c r="G545" s="9" t="str">
        <f>IFERROR(__xludf.DUMMYFUNCTION("""COMPUTED_VALUE"""),"獎狀")</f>
        <v>獎狀</v>
      </c>
      <c r="H545" s="9"/>
    </row>
    <row r="546">
      <c r="A546" s="13" t="s">
        <v>11</v>
      </c>
      <c r="B546" s="9" t="str">
        <f>IFERROR(__xludf.DUMMYFUNCTION("""COMPUTED_VALUE"""),"邱O淇")</f>
        <v>邱O淇</v>
      </c>
      <c r="C546" s="9" t="str">
        <f>IFERROR(__xludf.DUMMYFUNCTION("""COMPUTED_VALUE"""),"215*****ssh.tyc.edu.tw")</f>
        <v>215*****ssh.tyc.edu.tw</v>
      </c>
      <c r="D546" s="9" t="str">
        <f>IFERROR(__xludf.DUMMYFUNCTION("""COMPUTED_VALUE"""),"桃園市立壽山高級中等學校")</f>
        <v>桃園市立壽山高級中等學校</v>
      </c>
      <c r="E546" s="9" t="str">
        <f>IFERROR(__xludf.DUMMYFUNCTION("""COMPUTED_VALUE"""),"應英科")</f>
        <v>應英科</v>
      </c>
      <c r="F546" s="9" t="str">
        <f>IFERROR(__xludf.DUMMYFUNCTION("""COMPUTED_VALUE"""),"三年級")</f>
        <v>三年級</v>
      </c>
      <c r="G546" s="9" t="str">
        <f>IFERROR(__xludf.DUMMYFUNCTION("""COMPUTED_VALUE"""),"獎狀")</f>
        <v>獎狀</v>
      </c>
      <c r="H546" s="9"/>
    </row>
    <row r="547">
      <c r="A547" s="13" t="s">
        <v>11</v>
      </c>
      <c r="B547" s="9" t="str">
        <f>IFERROR(__xludf.DUMMYFUNCTION("""COMPUTED_VALUE"""),"黃O凱")</f>
        <v>黃O凱</v>
      </c>
      <c r="C547" s="9" t="str">
        <f>IFERROR(__xludf.DUMMYFUNCTION("""COMPUTED_VALUE"""),"215*****ssh.tyc.edu.tw")</f>
        <v>215*****ssh.tyc.edu.tw</v>
      </c>
      <c r="D547" s="9" t="str">
        <f>IFERROR(__xludf.DUMMYFUNCTION("""COMPUTED_VALUE"""),"桃園市立壽山高級中等學校")</f>
        <v>桃園市立壽山高級中等學校</v>
      </c>
      <c r="E547" s="9" t="str">
        <f>IFERROR(__xludf.DUMMYFUNCTION("""COMPUTED_VALUE"""),"應英科")</f>
        <v>應英科</v>
      </c>
      <c r="F547" s="9" t="str">
        <f>IFERROR(__xludf.DUMMYFUNCTION("""COMPUTED_VALUE"""),"三年級")</f>
        <v>三年級</v>
      </c>
      <c r="G547" s="9" t="str">
        <f>IFERROR(__xludf.DUMMYFUNCTION("""COMPUTED_VALUE"""),"獎狀")</f>
        <v>獎狀</v>
      </c>
      <c r="H547" s="9"/>
    </row>
    <row r="548">
      <c r="A548" s="13" t="s">
        <v>11</v>
      </c>
      <c r="B548" s="9" t="str">
        <f>IFERROR(__xludf.DUMMYFUNCTION("""COMPUTED_VALUE"""),"黃O淇")</f>
        <v>黃O淇</v>
      </c>
      <c r="C548" s="9" t="str">
        <f>IFERROR(__xludf.DUMMYFUNCTION("""COMPUTED_VALUE"""),"215*****ssh.tyc.edu.tw")</f>
        <v>215*****ssh.tyc.edu.tw</v>
      </c>
      <c r="D548" s="9" t="str">
        <f>IFERROR(__xludf.DUMMYFUNCTION("""COMPUTED_VALUE"""),"桃園市立壽山高級中等學校")</f>
        <v>桃園市立壽山高級中等學校</v>
      </c>
      <c r="E548" s="9" t="str">
        <f>IFERROR(__xludf.DUMMYFUNCTION("""COMPUTED_VALUE"""),"應英科")</f>
        <v>應英科</v>
      </c>
      <c r="F548" s="9" t="str">
        <f>IFERROR(__xludf.DUMMYFUNCTION("""COMPUTED_VALUE"""),"三年級")</f>
        <v>三年級</v>
      </c>
      <c r="G548" s="9" t="str">
        <f>IFERROR(__xludf.DUMMYFUNCTION("""COMPUTED_VALUE"""),"獎狀")</f>
        <v>獎狀</v>
      </c>
      <c r="H548" s="9"/>
    </row>
    <row r="549">
      <c r="A549" s="13" t="s">
        <v>11</v>
      </c>
      <c r="B549" s="9" t="str">
        <f>IFERROR(__xludf.DUMMYFUNCTION("""COMPUTED_VALUE"""),"簡O儀")</f>
        <v>簡O儀</v>
      </c>
      <c r="C549" s="9" t="str">
        <f>IFERROR(__xludf.DUMMYFUNCTION("""COMPUTED_VALUE"""),"215*****ssh.tyc.edu.tw")</f>
        <v>215*****ssh.tyc.edu.tw</v>
      </c>
      <c r="D549" s="9" t="str">
        <f>IFERROR(__xludf.DUMMYFUNCTION("""COMPUTED_VALUE"""),"桃園市立壽山高級中等學校")</f>
        <v>桃園市立壽山高級中等學校</v>
      </c>
      <c r="E549" s="9" t="str">
        <f>IFERROR(__xludf.DUMMYFUNCTION("""COMPUTED_VALUE"""),"應英科")</f>
        <v>應英科</v>
      </c>
      <c r="F549" s="9" t="str">
        <f>IFERROR(__xludf.DUMMYFUNCTION("""COMPUTED_VALUE"""),"三年級")</f>
        <v>三年級</v>
      </c>
      <c r="G549" s="9" t="str">
        <f>IFERROR(__xludf.DUMMYFUNCTION("""COMPUTED_VALUE"""),"獎狀")</f>
        <v>獎狀</v>
      </c>
      <c r="H549" s="9"/>
    </row>
    <row r="550">
      <c r="A550" s="13" t="s">
        <v>11</v>
      </c>
      <c r="B550" s="9" t="str">
        <f>IFERROR(__xludf.DUMMYFUNCTION("""COMPUTED_VALUE"""),"劉O妘")</f>
        <v>劉O妘</v>
      </c>
      <c r="C550" s="9" t="str">
        <f>IFERROR(__xludf.DUMMYFUNCTION("""COMPUTED_VALUE"""),"215*****ssh.tyc.edu.tw")</f>
        <v>215*****ssh.tyc.edu.tw</v>
      </c>
      <c r="D550" s="9" t="str">
        <f>IFERROR(__xludf.DUMMYFUNCTION("""COMPUTED_VALUE"""),"桃園市立壽山高級中等學校")</f>
        <v>桃園市立壽山高級中等學校</v>
      </c>
      <c r="E550" s="9" t="str">
        <f>IFERROR(__xludf.DUMMYFUNCTION("""COMPUTED_VALUE"""),"應英科")</f>
        <v>應英科</v>
      </c>
      <c r="F550" s="9" t="str">
        <f>IFERROR(__xludf.DUMMYFUNCTION("""COMPUTED_VALUE"""),"三年級")</f>
        <v>三年級</v>
      </c>
      <c r="G550" s="9" t="str">
        <f>IFERROR(__xludf.DUMMYFUNCTION("""COMPUTED_VALUE"""),"獎狀")</f>
        <v>獎狀</v>
      </c>
      <c r="H550" s="9"/>
    </row>
    <row r="551">
      <c r="A551" s="13" t="s">
        <v>11</v>
      </c>
      <c r="B551" s="9" t="str">
        <f>IFERROR(__xludf.DUMMYFUNCTION("""COMPUTED_VALUE"""),"邱O柔")</f>
        <v>邱O柔</v>
      </c>
      <c r="C551" s="9" t="str">
        <f>IFERROR(__xludf.DUMMYFUNCTION("""COMPUTED_VALUE"""),"215*****ssh.tyc.edu.tw")</f>
        <v>215*****ssh.tyc.edu.tw</v>
      </c>
      <c r="D551" s="9" t="str">
        <f>IFERROR(__xludf.DUMMYFUNCTION("""COMPUTED_VALUE"""),"桃園市立壽山高級中等學校")</f>
        <v>桃園市立壽山高級中等學校</v>
      </c>
      <c r="E551" s="9" t="str">
        <f>IFERROR(__xludf.DUMMYFUNCTION("""COMPUTED_VALUE"""),"應英科")</f>
        <v>應英科</v>
      </c>
      <c r="F551" s="9" t="str">
        <f>IFERROR(__xludf.DUMMYFUNCTION("""COMPUTED_VALUE"""),"三年級")</f>
        <v>三年級</v>
      </c>
      <c r="G551" s="9" t="str">
        <f>IFERROR(__xludf.DUMMYFUNCTION("""COMPUTED_VALUE"""),"獎狀")</f>
        <v>獎狀</v>
      </c>
      <c r="H551" s="9"/>
    </row>
    <row r="552">
      <c r="A552" s="13" t="s">
        <v>11</v>
      </c>
      <c r="B552" s="9" t="str">
        <f>IFERROR(__xludf.DUMMYFUNCTION("""COMPUTED_VALUE"""),"曾O妘")</f>
        <v>曾O妘</v>
      </c>
      <c r="C552" s="9" t="str">
        <f>IFERROR(__xludf.DUMMYFUNCTION("""COMPUTED_VALUE"""),"215*****ssh.tyc.edu.tw")</f>
        <v>215*****ssh.tyc.edu.tw</v>
      </c>
      <c r="D552" s="9" t="str">
        <f>IFERROR(__xludf.DUMMYFUNCTION("""COMPUTED_VALUE"""),"桃園市立壽山高級中等學校")</f>
        <v>桃園市立壽山高級中等學校</v>
      </c>
      <c r="E552" s="9" t="str">
        <f>IFERROR(__xludf.DUMMYFUNCTION("""COMPUTED_VALUE"""),"應英科")</f>
        <v>應英科</v>
      </c>
      <c r="F552" s="9" t="str">
        <f>IFERROR(__xludf.DUMMYFUNCTION("""COMPUTED_VALUE"""),"三年級")</f>
        <v>三年級</v>
      </c>
      <c r="G552" s="9" t="str">
        <f>IFERROR(__xludf.DUMMYFUNCTION("""COMPUTED_VALUE"""),"獎狀")</f>
        <v>獎狀</v>
      </c>
      <c r="H552" s="9"/>
    </row>
    <row r="553">
      <c r="A553" s="13" t="s">
        <v>11</v>
      </c>
      <c r="B553" s="9" t="str">
        <f>IFERROR(__xludf.DUMMYFUNCTION("""COMPUTED_VALUE"""),"曾O婕")</f>
        <v>曾O婕</v>
      </c>
      <c r="C553" s="9" t="str">
        <f>IFERROR(__xludf.DUMMYFUNCTION("""COMPUTED_VALUE"""),"215*****ssh.tyc.edu.tw")</f>
        <v>215*****ssh.tyc.edu.tw</v>
      </c>
      <c r="D553" s="9" t="str">
        <f>IFERROR(__xludf.DUMMYFUNCTION("""COMPUTED_VALUE"""),"桃園市立壽山高級中等學校")</f>
        <v>桃園市立壽山高級中等學校</v>
      </c>
      <c r="E553" s="9" t="str">
        <f>IFERROR(__xludf.DUMMYFUNCTION("""COMPUTED_VALUE"""),"應英科")</f>
        <v>應英科</v>
      </c>
      <c r="F553" s="9" t="str">
        <f>IFERROR(__xludf.DUMMYFUNCTION("""COMPUTED_VALUE"""),"三年級")</f>
        <v>三年級</v>
      </c>
      <c r="G553" s="9" t="str">
        <f>IFERROR(__xludf.DUMMYFUNCTION("""COMPUTED_VALUE"""),"獎狀")</f>
        <v>獎狀</v>
      </c>
      <c r="H553" s="9"/>
    </row>
    <row r="554">
      <c r="A554" s="13" t="s">
        <v>11</v>
      </c>
      <c r="B554" s="9" t="str">
        <f>IFERROR(__xludf.DUMMYFUNCTION("""COMPUTED_VALUE"""),"吳O豪")</f>
        <v>吳O豪</v>
      </c>
      <c r="C554" s="9" t="str">
        <f>IFERROR(__xludf.DUMMYFUNCTION("""COMPUTED_VALUE"""),"215*****ssh.tyc.edu.tw")</f>
        <v>215*****ssh.tyc.edu.tw</v>
      </c>
      <c r="D554" s="9" t="str">
        <f>IFERROR(__xludf.DUMMYFUNCTION("""COMPUTED_VALUE"""),"桃園市立壽山高級中等學校")</f>
        <v>桃園市立壽山高級中等學校</v>
      </c>
      <c r="E554" s="9" t="str">
        <f>IFERROR(__xludf.DUMMYFUNCTION("""COMPUTED_VALUE"""),"應英科")</f>
        <v>應英科</v>
      </c>
      <c r="F554" s="9" t="str">
        <f>IFERROR(__xludf.DUMMYFUNCTION("""COMPUTED_VALUE"""),"三年級")</f>
        <v>三年級</v>
      </c>
      <c r="G554" s="9" t="str">
        <f>IFERROR(__xludf.DUMMYFUNCTION("""COMPUTED_VALUE"""),"■商品卡$200")</f>
        <v>■商品卡$200</v>
      </c>
      <c r="H554" s="9"/>
    </row>
    <row r="555">
      <c r="A555" s="13" t="s">
        <v>11</v>
      </c>
      <c r="B555" s="9" t="str">
        <f>IFERROR(__xludf.DUMMYFUNCTION("""COMPUTED_VALUE"""),"許O翔")</f>
        <v>許O翔</v>
      </c>
      <c r="C555" s="9" t="str">
        <f>IFERROR(__xludf.DUMMYFUNCTION("""COMPUTED_VALUE"""),"215*****ssh.tyc.edu.tw")</f>
        <v>215*****ssh.tyc.edu.tw</v>
      </c>
      <c r="D555" s="9" t="str">
        <f>IFERROR(__xludf.DUMMYFUNCTION("""COMPUTED_VALUE"""),"桃園市立壽山高級中等學校")</f>
        <v>桃園市立壽山高級中等學校</v>
      </c>
      <c r="E555" s="9" t="str">
        <f>IFERROR(__xludf.DUMMYFUNCTION("""COMPUTED_VALUE"""),"應英科")</f>
        <v>應英科</v>
      </c>
      <c r="F555" s="9" t="str">
        <f>IFERROR(__xludf.DUMMYFUNCTION("""COMPUTED_VALUE"""),"三年級")</f>
        <v>三年級</v>
      </c>
      <c r="G555" s="9" t="str">
        <f>IFERROR(__xludf.DUMMYFUNCTION("""COMPUTED_VALUE"""),"獎狀")</f>
        <v>獎狀</v>
      </c>
      <c r="H555" s="9"/>
    </row>
    <row r="556">
      <c r="A556" s="13" t="s">
        <v>11</v>
      </c>
      <c r="B556" s="9" t="str">
        <f>IFERROR(__xludf.DUMMYFUNCTION("""COMPUTED_VALUE"""),"官O澤")</f>
        <v>官O澤</v>
      </c>
      <c r="C556" s="9" t="str">
        <f>IFERROR(__xludf.DUMMYFUNCTION("""COMPUTED_VALUE"""),"215*****ssh.tyc.edu.tw")</f>
        <v>215*****ssh.tyc.edu.tw</v>
      </c>
      <c r="D556" s="9" t="str">
        <f>IFERROR(__xludf.DUMMYFUNCTION("""COMPUTED_VALUE"""),"桃園市立壽山高級中等學校")</f>
        <v>桃園市立壽山高級中等學校</v>
      </c>
      <c r="E556" s="9" t="str">
        <f>IFERROR(__xludf.DUMMYFUNCTION("""COMPUTED_VALUE"""),"應英科")</f>
        <v>應英科</v>
      </c>
      <c r="F556" s="9" t="str">
        <f>IFERROR(__xludf.DUMMYFUNCTION("""COMPUTED_VALUE"""),"三年級")</f>
        <v>三年級</v>
      </c>
      <c r="G556" s="9" t="str">
        <f>IFERROR(__xludf.DUMMYFUNCTION("""COMPUTED_VALUE"""),"獎狀")</f>
        <v>獎狀</v>
      </c>
      <c r="H556" s="9"/>
    </row>
    <row r="557">
      <c r="A557" s="13" t="s">
        <v>11</v>
      </c>
      <c r="B557" s="9" t="str">
        <f>IFERROR(__xludf.DUMMYFUNCTION("""COMPUTED_VALUE"""),"黃O熏")</f>
        <v>黃O熏</v>
      </c>
      <c r="C557" s="9" t="str">
        <f>IFERROR(__xludf.DUMMYFUNCTION("""COMPUTED_VALUE"""),"215*****ssh.tyc.edu.tw")</f>
        <v>215*****ssh.tyc.edu.tw</v>
      </c>
      <c r="D557" s="9" t="str">
        <f>IFERROR(__xludf.DUMMYFUNCTION("""COMPUTED_VALUE"""),"桃園市立壽山高級中等學校")</f>
        <v>桃園市立壽山高級中等學校</v>
      </c>
      <c r="E557" s="9" t="str">
        <f>IFERROR(__xludf.DUMMYFUNCTION("""COMPUTED_VALUE"""),"應英科")</f>
        <v>應英科</v>
      </c>
      <c r="F557" s="9" t="str">
        <f>IFERROR(__xludf.DUMMYFUNCTION("""COMPUTED_VALUE"""),"三年級")</f>
        <v>三年級</v>
      </c>
      <c r="G557" s="9" t="str">
        <f>IFERROR(__xludf.DUMMYFUNCTION("""COMPUTED_VALUE"""),"獎狀")</f>
        <v>獎狀</v>
      </c>
      <c r="H557" s="9"/>
    </row>
    <row r="558">
      <c r="A558" s="13" t="s">
        <v>11</v>
      </c>
      <c r="B558" s="9" t="str">
        <f>IFERROR(__xludf.DUMMYFUNCTION("""COMPUTED_VALUE"""),"江O俊")</f>
        <v>江O俊</v>
      </c>
      <c r="C558" s="9" t="str">
        <f>IFERROR(__xludf.DUMMYFUNCTION("""COMPUTED_VALUE"""),"215*****ssh.tyc.edu.tw")</f>
        <v>215*****ssh.tyc.edu.tw</v>
      </c>
      <c r="D558" s="9" t="str">
        <f>IFERROR(__xludf.DUMMYFUNCTION("""COMPUTED_VALUE"""),"桃園市立壽山高級中等學校")</f>
        <v>桃園市立壽山高級中等學校</v>
      </c>
      <c r="E558" s="9" t="str">
        <f>IFERROR(__xludf.DUMMYFUNCTION("""COMPUTED_VALUE"""),"應英科")</f>
        <v>應英科</v>
      </c>
      <c r="F558" s="9" t="str">
        <f>IFERROR(__xludf.DUMMYFUNCTION("""COMPUTED_VALUE"""),"三年級")</f>
        <v>三年級</v>
      </c>
      <c r="G558" s="9" t="str">
        <f>IFERROR(__xludf.DUMMYFUNCTION("""COMPUTED_VALUE"""),"獎狀")</f>
        <v>獎狀</v>
      </c>
      <c r="H558" s="9"/>
    </row>
    <row r="559">
      <c r="A559" s="13" t="s">
        <v>11</v>
      </c>
      <c r="B559" s="9" t="str">
        <f>IFERROR(__xludf.DUMMYFUNCTION("""COMPUTED_VALUE"""),"王O潔")</f>
        <v>王O潔</v>
      </c>
      <c r="C559" s="9" t="str">
        <f>IFERROR(__xludf.DUMMYFUNCTION("""COMPUTED_VALUE"""),"215*****ssh.tyc.edu.tw")</f>
        <v>215*****ssh.tyc.edu.tw</v>
      </c>
      <c r="D559" s="9" t="str">
        <f>IFERROR(__xludf.DUMMYFUNCTION("""COMPUTED_VALUE"""),"桃園市立壽山高級中等學校")</f>
        <v>桃園市立壽山高級中等學校</v>
      </c>
      <c r="E559" s="9" t="str">
        <f>IFERROR(__xludf.DUMMYFUNCTION("""COMPUTED_VALUE"""),"應英科")</f>
        <v>應英科</v>
      </c>
      <c r="F559" s="9" t="str">
        <f>IFERROR(__xludf.DUMMYFUNCTION("""COMPUTED_VALUE"""),"三年級")</f>
        <v>三年級</v>
      </c>
      <c r="G559" s="9" t="str">
        <f>IFERROR(__xludf.DUMMYFUNCTION("""COMPUTED_VALUE"""),"獎狀")</f>
        <v>獎狀</v>
      </c>
      <c r="H559" s="9"/>
    </row>
    <row r="560">
      <c r="A560" s="13" t="s">
        <v>11</v>
      </c>
      <c r="B560" s="9" t="str">
        <f>IFERROR(__xludf.DUMMYFUNCTION("""COMPUTED_VALUE"""),"吳O蓁")</f>
        <v>吳O蓁</v>
      </c>
      <c r="C560" s="9" t="str">
        <f>IFERROR(__xludf.DUMMYFUNCTION("""COMPUTED_VALUE"""),"215*****ssh.tyc.edu.tw")</f>
        <v>215*****ssh.tyc.edu.tw</v>
      </c>
      <c r="D560" s="9" t="str">
        <f>IFERROR(__xludf.DUMMYFUNCTION("""COMPUTED_VALUE"""),"桃園市立壽山高級中等學校")</f>
        <v>桃園市立壽山高級中等學校</v>
      </c>
      <c r="E560" s="9" t="str">
        <f>IFERROR(__xludf.DUMMYFUNCTION("""COMPUTED_VALUE"""),"應英科")</f>
        <v>應英科</v>
      </c>
      <c r="F560" s="9" t="str">
        <f>IFERROR(__xludf.DUMMYFUNCTION("""COMPUTED_VALUE"""),"三年級")</f>
        <v>三年級</v>
      </c>
      <c r="G560" s="9" t="str">
        <f>IFERROR(__xludf.DUMMYFUNCTION("""COMPUTED_VALUE"""),"獎狀")</f>
        <v>獎狀</v>
      </c>
      <c r="H560" s="9"/>
    </row>
    <row r="561">
      <c r="A561" s="13" t="s">
        <v>11</v>
      </c>
      <c r="B561" s="9" t="str">
        <f>IFERROR(__xludf.DUMMYFUNCTION("""COMPUTED_VALUE"""),"李O霓")</f>
        <v>李O霓</v>
      </c>
      <c r="C561" s="9" t="str">
        <f>IFERROR(__xludf.DUMMYFUNCTION("""COMPUTED_VALUE"""),"215*****ssh.tyc.edu.tw")</f>
        <v>215*****ssh.tyc.edu.tw</v>
      </c>
      <c r="D561" s="9" t="str">
        <f>IFERROR(__xludf.DUMMYFUNCTION("""COMPUTED_VALUE"""),"桃園市立壽山高級中等學校")</f>
        <v>桃園市立壽山高級中等學校</v>
      </c>
      <c r="E561" s="9" t="str">
        <f>IFERROR(__xludf.DUMMYFUNCTION("""COMPUTED_VALUE"""),"應英科")</f>
        <v>應英科</v>
      </c>
      <c r="F561" s="9" t="str">
        <f>IFERROR(__xludf.DUMMYFUNCTION("""COMPUTED_VALUE"""),"三年級")</f>
        <v>三年級</v>
      </c>
      <c r="G561" s="9" t="str">
        <f>IFERROR(__xludf.DUMMYFUNCTION("""COMPUTED_VALUE"""),"獎狀")</f>
        <v>獎狀</v>
      </c>
      <c r="H561" s="9"/>
    </row>
    <row r="562">
      <c r="A562" s="13" t="s">
        <v>11</v>
      </c>
      <c r="B562" s="9" t="str">
        <f>IFERROR(__xludf.DUMMYFUNCTION("""COMPUTED_VALUE"""),"周O萱")</f>
        <v>周O萱</v>
      </c>
      <c r="C562" s="9" t="str">
        <f>IFERROR(__xludf.DUMMYFUNCTION("""COMPUTED_VALUE"""),"215*****ssh.tyc.edu.tw")</f>
        <v>215*****ssh.tyc.edu.tw</v>
      </c>
      <c r="D562" s="9" t="str">
        <f>IFERROR(__xludf.DUMMYFUNCTION("""COMPUTED_VALUE"""),"桃園市立壽山高級中等學校")</f>
        <v>桃園市立壽山高級中等學校</v>
      </c>
      <c r="E562" s="9" t="str">
        <f>IFERROR(__xludf.DUMMYFUNCTION("""COMPUTED_VALUE"""),"應英科")</f>
        <v>應英科</v>
      </c>
      <c r="F562" s="9" t="str">
        <f>IFERROR(__xludf.DUMMYFUNCTION("""COMPUTED_VALUE"""),"三年級")</f>
        <v>三年級</v>
      </c>
      <c r="G562" s="9" t="str">
        <f>IFERROR(__xludf.DUMMYFUNCTION("""COMPUTED_VALUE"""),"獎狀")</f>
        <v>獎狀</v>
      </c>
      <c r="H562" s="9"/>
    </row>
    <row r="563">
      <c r="A563" s="13" t="s">
        <v>11</v>
      </c>
      <c r="B563" s="9" t="str">
        <f>IFERROR(__xludf.DUMMYFUNCTION("""COMPUTED_VALUE"""),"林O薰")</f>
        <v>林O薰</v>
      </c>
      <c r="C563" s="9" t="str">
        <f>IFERROR(__xludf.DUMMYFUNCTION("""COMPUTED_VALUE"""),"215*****ssh.tyc.edu.tw")</f>
        <v>215*****ssh.tyc.edu.tw</v>
      </c>
      <c r="D563" s="9" t="str">
        <f>IFERROR(__xludf.DUMMYFUNCTION("""COMPUTED_VALUE"""),"桃園市立壽山高級中等學校")</f>
        <v>桃園市立壽山高級中等學校</v>
      </c>
      <c r="E563" s="9" t="str">
        <f>IFERROR(__xludf.DUMMYFUNCTION("""COMPUTED_VALUE"""),"應英科")</f>
        <v>應英科</v>
      </c>
      <c r="F563" s="9" t="str">
        <f>IFERROR(__xludf.DUMMYFUNCTION("""COMPUTED_VALUE"""),"三年級")</f>
        <v>三年級</v>
      </c>
      <c r="G563" s="9" t="str">
        <f>IFERROR(__xludf.DUMMYFUNCTION("""COMPUTED_VALUE"""),"獎狀")</f>
        <v>獎狀</v>
      </c>
      <c r="H563" s="9"/>
    </row>
    <row r="564">
      <c r="A564" s="13" t="s">
        <v>11</v>
      </c>
      <c r="B564" s="9" t="str">
        <f>IFERROR(__xludf.DUMMYFUNCTION("""COMPUTED_VALUE"""),"唐O宸")</f>
        <v>唐O宸</v>
      </c>
      <c r="C564" s="9" t="str">
        <f>IFERROR(__xludf.DUMMYFUNCTION("""COMPUTED_VALUE"""),"215*****ssh.tyc.edu.tw")</f>
        <v>215*****ssh.tyc.edu.tw</v>
      </c>
      <c r="D564" s="9" t="str">
        <f>IFERROR(__xludf.DUMMYFUNCTION("""COMPUTED_VALUE"""),"桃園市立壽山高級中等學校")</f>
        <v>桃園市立壽山高級中等學校</v>
      </c>
      <c r="E564" s="9" t="str">
        <f>IFERROR(__xludf.DUMMYFUNCTION("""COMPUTED_VALUE"""),"應英科")</f>
        <v>應英科</v>
      </c>
      <c r="F564" s="9" t="str">
        <f>IFERROR(__xludf.DUMMYFUNCTION("""COMPUTED_VALUE"""),"三年級")</f>
        <v>三年級</v>
      </c>
      <c r="G564" s="9" t="str">
        <f>IFERROR(__xludf.DUMMYFUNCTION("""COMPUTED_VALUE"""),"獎狀")</f>
        <v>獎狀</v>
      </c>
      <c r="H564" s="9"/>
    </row>
    <row r="565">
      <c r="A565" s="13" t="s">
        <v>11</v>
      </c>
      <c r="B565" s="9" t="str">
        <f>IFERROR(__xludf.DUMMYFUNCTION("""COMPUTED_VALUE"""),"陳O穎")</f>
        <v>陳O穎</v>
      </c>
      <c r="C565" s="9" t="str">
        <f>IFERROR(__xludf.DUMMYFUNCTION("""COMPUTED_VALUE"""),"215*****ssh.tyc.edu.tw")</f>
        <v>215*****ssh.tyc.edu.tw</v>
      </c>
      <c r="D565" s="9" t="str">
        <f>IFERROR(__xludf.DUMMYFUNCTION("""COMPUTED_VALUE"""),"桃園市立壽山高級中等學校")</f>
        <v>桃園市立壽山高級中等學校</v>
      </c>
      <c r="E565" s="9" t="str">
        <f>IFERROR(__xludf.DUMMYFUNCTION("""COMPUTED_VALUE"""),"應英科")</f>
        <v>應英科</v>
      </c>
      <c r="F565" s="9" t="str">
        <f>IFERROR(__xludf.DUMMYFUNCTION("""COMPUTED_VALUE"""),"三年級")</f>
        <v>三年級</v>
      </c>
      <c r="G565" s="9" t="str">
        <f>IFERROR(__xludf.DUMMYFUNCTION("""COMPUTED_VALUE"""),"獎狀")</f>
        <v>獎狀</v>
      </c>
      <c r="H565" s="9"/>
    </row>
    <row r="566">
      <c r="A566" s="13" t="s">
        <v>11</v>
      </c>
      <c r="B566" s="9" t="str">
        <f>IFERROR(__xludf.DUMMYFUNCTION("""COMPUTED_VALUE"""),"陳O靜")</f>
        <v>陳O靜</v>
      </c>
      <c r="C566" s="9" t="str">
        <f>IFERROR(__xludf.DUMMYFUNCTION("""COMPUTED_VALUE"""),"115*****ssh.tyc.edu.tw")</f>
        <v>115*****ssh.tyc.edu.tw</v>
      </c>
      <c r="D566" s="9" t="str">
        <f>IFERROR(__xludf.DUMMYFUNCTION("""COMPUTED_VALUE"""),"桃園市立壽山高級中等學校")</f>
        <v>桃園市立壽山高級中等學校</v>
      </c>
      <c r="E566" s="9" t="str">
        <f>IFERROR(__xludf.DUMMYFUNCTION("""COMPUTED_VALUE"""),"應英科")</f>
        <v>應英科</v>
      </c>
      <c r="F566" s="9" t="str">
        <f>IFERROR(__xludf.DUMMYFUNCTION("""COMPUTED_VALUE"""),"三年級")</f>
        <v>三年級</v>
      </c>
      <c r="G566" s="9" t="str">
        <f>IFERROR(__xludf.DUMMYFUNCTION("""COMPUTED_VALUE"""),"獎狀")</f>
        <v>獎狀</v>
      </c>
      <c r="H566" s="9"/>
    </row>
    <row r="567">
      <c r="A567" s="13" t="s">
        <v>11</v>
      </c>
      <c r="B567" s="9" t="str">
        <f>IFERROR(__xludf.DUMMYFUNCTION("""COMPUTED_VALUE"""),"邱O峰")</f>
        <v>邱O峰</v>
      </c>
      <c r="C567" s="9" t="str">
        <f>IFERROR(__xludf.DUMMYFUNCTION("""COMPUTED_VALUE"""),"215*****ssh.tyc.edu.tw")</f>
        <v>215*****ssh.tyc.edu.tw</v>
      </c>
      <c r="D567" s="9" t="str">
        <f>IFERROR(__xludf.DUMMYFUNCTION("""COMPUTED_VALUE"""),"桃園市立壽山高級中等學校")</f>
        <v>桃園市立壽山高級中等學校</v>
      </c>
      <c r="E567" s="9" t="str">
        <f>IFERROR(__xludf.DUMMYFUNCTION("""COMPUTED_VALUE"""),"應英科")</f>
        <v>應英科</v>
      </c>
      <c r="F567" s="9" t="str">
        <f>IFERROR(__xludf.DUMMYFUNCTION("""COMPUTED_VALUE"""),"三年級")</f>
        <v>三年級</v>
      </c>
      <c r="G567" s="9" t="str">
        <f>IFERROR(__xludf.DUMMYFUNCTION("""COMPUTED_VALUE"""),"獎狀")</f>
        <v>獎狀</v>
      </c>
      <c r="H567" s="9"/>
    </row>
    <row r="568">
      <c r="A568" s="13" t="s">
        <v>11</v>
      </c>
      <c r="B568" s="9" t="str">
        <f>IFERROR(__xludf.DUMMYFUNCTION("""COMPUTED_VALUE"""),"黃O麟")</f>
        <v>黃O麟</v>
      </c>
      <c r="C568" s="9" t="str">
        <f>IFERROR(__xludf.DUMMYFUNCTION("""COMPUTED_VALUE"""),"wux*****2@gmail.com")</f>
        <v>wux*****2@gmail.com</v>
      </c>
      <c r="D568" s="9" t="str">
        <f>IFERROR(__xludf.DUMMYFUNCTION("""COMPUTED_VALUE"""),"新興學校財團法人桃園市新興高級中等學校")</f>
        <v>新興學校財團法人桃園市新興高級中等學校</v>
      </c>
      <c r="E568" s="9" t="str">
        <f>IFERROR(__xludf.DUMMYFUNCTION("""COMPUTED_VALUE"""),"電子商務")</f>
        <v>電子商務</v>
      </c>
      <c r="F568" s="9" t="str">
        <f>IFERROR(__xludf.DUMMYFUNCTION("""COMPUTED_VALUE"""),"二年級")</f>
        <v>二年級</v>
      </c>
      <c r="G568" s="9" t="str">
        <f>IFERROR(__xludf.DUMMYFUNCTION("""COMPUTED_VALUE"""),"獎狀")</f>
        <v>獎狀</v>
      </c>
      <c r="H568" s="11"/>
    </row>
    <row r="569">
      <c r="A569" s="13" t="s">
        <v>11</v>
      </c>
      <c r="B569" s="9" t="str">
        <f>IFERROR(__xludf.DUMMYFUNCTION("""COMPUTED_VALUE"""),"張O祺")</f>
        <v>張O祺</v>
      </c>
      <c r="C569" s="9" t="str">
        <f>IFERROR(__xludf.DUMMYFUNCTION("""COMPUTED_VALUE"""),"chi*****607@gmail.com")</f>
        <v>chi*****607@gmail.com</v>
      </c>
      <c r="D569" s="9" t="str">
        <f>IFERROR(__xludf.DUMMYFUNCTION("""COMPUTED_VALUE"""),"國立苗栗高級農工職業學校")</f>
        <v>國立苗栗高級農工職業學校</v>
      </c>
      <c r="E569" s="9" t="str">
        <f>IFERROR(__xludf.DUMMYFUNCTION("""COMPUTED_VALUE"""),"機電科")</f>
        <v>機電科</v>
      </c>
      <c r="F569" s="9" t="str">
        <f>IFERROR(__xludf.DUMMYFUNCTION("""COMPUTED_VALUE"""),"二年級")</f>
        <v>二年級</v>
      </c>
      <c r="G569" s="9" t="str">
        <f>IFERROR(__xludf.DUMMYFUNCTION("""COMPUTED_VALUE"""),"★商品卡$1000")</f>
        <v>★商品卡$1000</v>
      </c>
      <c r="H569" s="11"/>
    </row>
    <row r="570">
      <c r="A570" s="13" t="s">
        <v>11</v>
      </c>
      <c r="B570" s="9" t="str">
        <f>IFERROR(__xludf.DUMMYFUNCTION("""COMPUTED_VALUE"""),"楊O萱")</f>
        <v>楊O萱</v>
      </c>
      <c r="C570" s="9" t="str">
        <f>IFERROR(__xludf.DUMMYFUNCTION("""COMPUTED_VALUE"""),"314*****ail.jlsh.mlc.edu.tw")</f>
        <v>314*****ail.jlsh.mlc.edu.tw</v>
      </c>
      <c r="D570" s="9" t="str">
        <f>IFERROR(__xludf.DUMMYFUNCTION("""COMPUTED_VALUE"""),"國立卓蘭高級中等學校")</f>
        <v>國立卓蘭高級中等學校</v>
      </c>
      <c r="E570" s="9" t="str">
        <f>IFERROR(__xludf.DUMMYFUNCTION("""COMPUTED_VALUE"""),"幼保科")</f>
        <v>幼保科</v>
      </c>
      <c r="F570" s="9" t="str">
        <f>IFERROR(__xludf.DUMMYFUNCTION("""COMPUTED_VALUE"""),"一年級")</f>
        <v>一年級</v>
      </c>
      <c r="G570" s="9" t="str">
        <f>IFERROR(__xludf.DUMMYFUNCTION("""COMPUTED_VALUE"""),"■商品卡$200")</f>
        <v>■商品卡$200</v>
      </c>
      <c r="H570" s="9"/>
    </row>
    <row r="571">
      <c r="A571" s="13" t="s">
        <v>11</v>
      </c>
      <c r="B571" s="9" t="str">
        <f>IFERROR(__xludf.DUMMYFUNCTION("""COMPUTED_VALUE"""),"廖O妤")</f>
        <v>廖O妤</v>
      </c>
      <c r="C571" s="9" t="str">
        <f>IFERROR(__xludf.DUMMYFUNCTION("""COMPUTED_VALUE"""),"214*****ail.jlsh.mlc.edu.tw")</f>
        <v>214*****ail.jlsh.mlc.edu.tw</v>
      </c>
      <c r="D571" s="9" t="str">
        <f>IFERROR(__xludf.DUMMYFUNCTION("""COMPUTED_VALUE"""),"國立卓蘭高級中等學校")</f>
        <v>國立卓蘭高級中等學校</v>
      </c>
      <c r="E571" s="9" t="str">
        <f>IFERROR(__xludf.DUMMYFUNCTION("""COMPUTED_VALUE"""),"幼保科")</f>
        <v>幼保科</v>
      </c>
      <c r="F571" s="9" t="str">
        <f>IFERROR(__xludf.DUMMYFUNCTION("""COMPUTED_VALUE"""),"三年級")</f>
        <v>三年級</v>
      </c>
      <c r="G571" s="9" t="str">
        <f>IFERROR(__xludf.DUMMYFUNCTION("""COMPUTED_VALUE"""),"★商品卡$1000")</f>
        <v>★商品卡$1000</v>
      </c>
      <c r="H571" s="9"/>
    </row>
    <row r="572">
      <c r="A572" s="13" t="s">
        <v>11</v>
      </c>
      <c r="B572" s="9" t="str">
        <f>IFERROR(__xludf.DUMMYFUNCTION("""COMPUTED_VALUE"""),"古O倫")</f>
        <v>古O倫</v>
      </c>
      <c r="C572" s="9" t="str">
        <f>IFERROR(__xludf.DUMMYFUNCTION("""COMPUTED_VALUE"""),"313*****ail.jlsh.mlc.edu.tw")</f>
        <v>313*****ail.jlsh.mlc.edu.tw</v>
      </c>
      <c r="D572" s="9" t="str">
        <f>IFERROR(__xludf.DUMMYFUNCTION("""COMPUTED_VALUE"""),"國立卓蘭高級中等學校")</f>
        <v>國立卓蘭高級中等學校</v>
      </c>
      <c r="E572" s="9" t="str">
        <f>IFERROR(__xludf.DUMMYFUNCTION("""COMPUTED_VALUE"""),"資料處理科")</f>
        <v>資料處理科</v>
      </c>
      <c r="F572" s="9" t="str">
        <f>IFERROR(__xludf.DUMMYFUNCTION("""COMPUTED_VALUE"""),"一年級")</f>
        <v>一年級</v>
      </c>
      <c r="G572" s="9" t="str">
        <f>IFERROR(__xludf.DUMMYFUNCTION("""COMPUTED_VALUE"""),"獎狀")</f>
        <v>獎狀</v>
      </c>
      <c r="H572" s="9"/>
    </row>
    <row r="573">
      <c r="A573" s="13" t="s">
        <v>11</v>
      </c>
      <c r="B573" s="9" t="str">
        <f>IFERROR(__xludf.DUMMYFUNCTION("""COMPUTED_VALUE"""),"陳O儀")</f>
        <v>陳O儀</v>
      </c>
      <c r="C573" s="9" t="str">
        <f>IFERROR(__xludf.DUMMYFUNCTION("""COMPUTED_VALUE"""),"317*****ail.jlsh.mlc.edu.tw")</f>
        <v>317*****ail.jlsh.mlc.edu.tw</v>
      </c>
      <c r="D573" s="9" t="str">
        <f>IFERROR(__xludf.DUMMYFUNCTION("""COMPUTED_VALUE"""),"國立卓蘭高級中等學校")</f>
        <v>國立卓蘭高級中等學校</v>
      </c>
      <c r="E573" s="9" t="str">
        <f>IFERROR(__xludf.DUMMYFUNCTION("""COMPUTED_VALUE"""),"應英科")</f>
        <v>應英科</v>
      </c>
      <c r="F573" s="9" t="str">
        <f>IFERROR(__xludf.DUMMYFUNCTION("""COMPUTED_VALUE"""),"一年級")</f>
        <v>一年級</v>
      </c>
      <c r="G573" s="9" t="str">
        <f>IFERROR(__xludf.DUMMYFUNCTION("""COMPUTED_VALUE"""),"獎狀")</f>
        <v>獎狀</v>
      </c>
      <c r="H573" s="9"/>
    </row>
    <row r="574">
      <c r="A574" s="13" t="s">
        <v>11</v>
      </c>
      <c r="B574" s="9" t="str">
        <f>IFERROR(__xludf.DUMMYFUNCTION("""COMPUTED_VALUE"""),"李O賢")</f>
        <v>李O賢</v>
      </c>
      <c r="C574" s="9" t="str">
        <f>IFERROR(__xludf.DUMMYFUNCTION("""COMPUTED_VALUE"""),"217*****ail.jlsh.mlc.edu.tw")</f>
        <v>217*****ail.jlsh.mlc.edu.tw</v>
      </c>
      <c r="D574" s="9" t="str">
        <f>IFERROR(__xludf.DUMMYFUNCTION("""COMPUTED_VALUE"""),"國立卓蘭高級中等學校")</f>
        <v>國立卓蘭高級中等學校</v>
      </c>
      <c r="E574" s="9" t="str">
        <f>IFERROR(__xludf.DUMMYFUNCTION("""COMPUTED_VALUE"""),"應英科")</f>
        <v>應英科</v>
      </c>
      <c r="F574" s="9" t="str">
        <f>IFERROR(__xludf.DUMMYFUNCTION("""COMPUTED_VALUE"""),"三年級")</f>
        <v>三年級</v>
      </c>
      <c r="G574" s="9" t="str">
        <f>IFERROR(__xludf.DUMMYFUNCTION("""COMPUTED_VALUE"""),"★商品卡$1000")</f>
        <v>★商品卡$1000</v>
      </c>
      <c r="H574" s="9"/>
    </row>
    <row r="575">
      <c r="A575" s="13" t="s">
        <v>11</v>
      </c>
      <c r="B575" s="9" t="str">
        <f>IFERROR(__xludf.DUMMYFUNCTION("""COMPUTED_VALUE"""),"黃O鈞")</f>
        <v>黃O鈞</v>
      </c>
      <c r="C575" s="9" t="str">
        <f>IFERROR(__xludf.DUMMYFUNCTION("""COMPUTED_VALUE"""),"112*****@stmail.tcavs.tc.edu.tw")</f>
        <v>112*****@stmail.tcavs.tc.edu.tw</v>
      </c>
      <c r="D575" s="9" t="str">
        <f>IFERROR(__xludf.DUMMYFUNCTION("""COMPUTED_VALUE"""),"國立中興大學附屬臺中高級農業職業學校")</f>
        <v>國立中興大學附屬臺中高級農業職業學校</v>
      </c>
      <c r="E575" s="9" t="str">
        <f>IFERROR(__xludf.DUMMYFUNCTION("""COMPUTED_VALUE"""),"幼保科")</f>
        <v>幼保科</v>
      </c>
      <c r="F575" s="9" t="str">
        <f>IFERROR(__xludf.DUMMYFUNCTION("""COMPUTED_VALUE"""),"二年級")</f>
        <v>二年級</v>
      </c>
      <c r="G575" s="9" t="str">
        <f>IFERROR(__xludf.DUMMYFUNCTION("""COMPUTED_VALUE"""),"獎狀")</f>
        <v>獎狀</v>
      </c>
      <c r="H575" s="9"/>
    </row>
    <row r="576">
      <c r="A576" s="13" t="s">
        <v>11</v>
      </c>
      <c r="B576" s="9" t="str">
        <f>IFERROR(__xludf.DUMMYFUNCTION("""COMPUTED_VALUE"""),"邱O學")</f>
        <v>邱O學</v>
      </c>
      <c r="C576" s="9" t="str">
        <f>IFERROR(__xludf.DUMMYFUNCTION("""COMPUTED_VALUE"""),"200*****.power@gmail.com")</f>
        <v>200*****.power@gmail.com</v>
      </c>
      <c r="D576" s="9" t="str">
        <f>IFERROR(__xludf.DUMMYFUNCTION("""COMPUTED_VALUE"""),"國立中興大學附屬臺中高級農業職業學校")</f>
        <v>國立中興大學附屬臺中高級農業職業學校</v>
      </c>
      <c r="E576" s="9" t="str">
        <f>IFERROR(__xludf.DUMMYFUNCTION("""COMPUTED_VALUE"""),"畜產保健科")</f>
        <v>畜產保健科</v>
      </c>
      <c r="F576" s="9" t="str">
        <f>IFERROR(__xludf.DUMMYFUNCTION("""COMPUTED_VALUE"""),"二年級")</f>
        <v>二年級</v>
      </c>
      <c r="G576" s="9" t="str">
        <f>IFERROR(__xludf.DUMMYFUNCTION("""COMPUTED_VALUE"""),"獎狀")</f>
        <v>獎狀</v>
      </c>
      <c r="H576" s="9"/>
    </row>
    <row r="577">
      <c r="A577" s="13" t="s">
        <v>11</v>
      </c>
      <c r="B577" s="9" t="str">
        <f>IFERROR(__xludf.DUMMYFUNCTION("""COMPUTED_VALUE"""),"陳O樺")</f>
        <v>陳O樺</v>
      </c>
      <c r="C577" s="9" t="str">
        <f>IFERROR(__xludf.DUMMYFUNCTION("""COMPUTED_VALUE"""),"313*****chcvs.tw")</f>
        <v>313*****chcvs.tw</v>
      </c>
      <c r="D577" s="9" t="str">
        <f>IFERROR(__xludf.DUMMYFUNCTION("""COMPUTED_VALUE"""),"臺中市立臺中家事商業高級中等學校")</f>
        <v>臺中市立臺中家事商業高級中等學校</v>
      </c>
      <c r="E577" s="9" t="str">
        <f>IFERROR(__xludf.DUMMYFUNCTION("""COMPUTED_VALUE"""),"商業經營科")</f>
        <v>商業經營科</v>
      </c>
      <c r="F577" s="9" t="str">
        <f>IFERROR(__xludf.DUMMYFUNCTION("""COMPUTED_VALUE"""),"一年級")</f>
        <v>一年級</v>
      </c>
      <c r="G577" s="9" t="str">
        <f>IFERROR(__xludf.DUMMYFUNCTION("""COMPUTED_VALUE"""),"○商品卡$500")</f>
        <v>○商品卡$500</v>
      </c>
      <c r="H577" s="9"/>
    </row>
    <row r="578">
      <c r="A578" s="13" t="s">
        <v>11</v>
      </c>
      <c r="B578" s="9" t="str">
        <f>IFERROR(__xludf.DUMMYFUNCTION("""COMPUTED_VALUE"""),"黃O宥")</f>
        <v>黃O宥</v>
      </c>
      <c r="C578" s="9" t="str">
        <f>IFERROR(__xludf.DUMMYFUNCTION("""COMPUTED_VALUE"""),"313*****chcvs.tw")</f>
        <v>313*****chcvs.tw</v>
      </c>
      <c r="D578" s="9" t="str">
        <f>IFERROR(__xludf.DUMMYFUNCTION("""COMPUTED_VALUE"""),"臺中市立臺中家事商業高級中等學校")</f>
        <v>臺中市立臺中家事商業高級中等學校</v>
      </c>
      <c r="E578" s="9" t="str">
        <f>IFERROR(__xludf.DUMMYFUNCTION("""COMPUTED_VALUE"""),"商業經營科")</f>
        <v>商業經營科</v>
      </c>
      <c r="F578" s="9" t="str">
        <f>IFERROR(__xludf.DUMMYFUNCTION("""COMPUTED_VALUE"""),"二年級")</f>
        <v>二年級</v>
      </c>
      <c r="G578" s="9" t="str">
        <f>IFERROR(__xludf.DUMMYFUNCTION("""COMPUTED_VALUE"""),"獎狀")</f>
        <v>獎狀</v>
      </c>
      <c r="H578" s="9"/>
    </row>
    <row r="579">
      <c r="A579" s="13" t="s">
        <v>11</v>
      </c>
      <c r="B579" s="9" t="str">
        <f>IFERROR(__xludf.DUMMYFUNCTION("""COMPUTED_VALUE"""),"藍O卉")</f>
        <v>藍O卉</v>
      </c>
      <c r="C579" s="9" t="str">
        <f>IFERROR(__xludf.DUMMYFUNCTION("""COMPUTED_VALUE"""),"313*****chcvs.tw")</f>
        <v>313*****chcvs.tw</v>
      </c>
      <c r="D579" s="9" t="str">
        <f>IFERROR(__xludf.DUMMYFUNCTION("""COMPUTED_VALUE"""),"臺中市立臺中家事商業高級中等學校")</f>
        <v>臺中市立臺中家事商業高級中等學校</v>
      </c>
      <c r="E579" s="9" t="str">
        <f>IFERROR(__xludf.DUMMYFUNCTION("""COMPUTED_VALUE"""),"商業經營科")</f>
        <v>商業經營科</v>
      </c>
      <c r="F579" s="9" t="str">
        <f>IFERROR(__xludf.DUMMYFUNCTION("""COMPUTED_VALUE"""),"二年級")</f>
        <v>二年級</v>
      </c>
      <c r="G579" s="9" t="str">
        <f>IFERROR(__xludf.DUMMYFUNCTION("""COMPUTED_VALUE"""),"獎狀")</f>
        <v>獎狀</v>
      </c>
      <c r="H579" s="9"/>
    </row>
    <row r="580">
      <c r="A580" s="13" t="s">
        <v>11</v>
      </c>
      <c r="B580" s="9" t="str">
        <f>IFERROR(__xludf.DUMMYFUNCTION("""COMPUTED_VALUE"""),"葉O妘")</f>
        <v>葉O妘</v>
      </c>
      <c r="C580" s="9" t="str">
        <f>IFERROR(__xludf.DUMMYFUNCTION("""COMPUTED_VALUE"""),"313*****chcvs.tw")</f>
        <v>313*****chcvs.tw</v>
      </c>
      <c r="D580" s="9" t="str">
        <f>IFERROR(__xludf.DUMMYFUNCTION("""COMPUTED_VALUE"""),"臺中市立臺中家事商業高級中等學校")</f>
        <v>臺中市立臺中家事商業高級中等學校</v>
      </c>
      <c r="E580" s="9" t="str">
        <f>IFERROR(__xludf.DUMMYFUNCTION("""COMPUTED_VALUE"""),"商經科")</f>
        <v>商經科</v>
      </c>
      <c r="F580" s="9" t="str">
        <f>IFERROR(__xludf.DUMMYFUNCTION("""COMPUTED_VALUE"""),"一年級")</f>
        <v>一年級</v>
      </c>
      <c r="G580" s="9" t="str">
        <f>IFERROR(__xludf.DUMMYFUNCTION("""COMPUTED_VALUE"""),"獎狀")</f>
        <v>獎狀</v>
      </c>
      <c r="H580" s="9"/>
    </row>
    <row r="581">
      <c r="A581" s="13" t="s">
        <v>11</v>
      </c>
      <c r="B581" s="9" t="str">
        <f>IFERROR(__xludf.DUMMYFUNCTION("""COMPUTED_VALUE"""),"李O芸")</f>
        <v>李O芸</v>
      </c>
      <c r="C581" s="9" t="str">
        <f>IFERROR(__xludf.DUMMYFUNCTION("""COMPUTED_VALUE"""),"313*****chcvs.tw")</f>
        <v>313*****chcvs.tw</v>
      </c>
      <c r="D581" s="9" t="str">
        <f>IFERROR(__xludf.DUMMYFUNCTION("""COMPUTED_VALUE"""),"臺中市立臺中家事商業高級中等學校")</f>
        <v>臺中市立臺中家事商業高級中等學校</v>
      </c>
      <c r="E581" s="9" t="str">
        <f>IFERROR(__xludf.DUMMYFUNCTION("""COMPUTED_VALUE"""),"商經科")</f>
        <v>商經科</v>
      </c>
      <c r="F581" s="9" t="str">
        <f>IFERROR(__xludf.DUMMYFUNCTION("""COMPUTED_VALUE"""),"二年級")</f>
        <v>二年級</v>
      </c>
      <c r="G581" s="9" t="str">
        <f>IFERROR(__xludf.DUMMYFUNCTION("""COMPUTED_VALUE"""),"獎狀")</f>
        <v>獎狀</v>
      </c>
      <c r="H581" s="9"/>
    </row>
    <row r="582">
      <c r="A582" s="13" t="s">
        <v>11</v>
      </c>
      <c r="B582" s="9" t="str">
        <f>IFERROR(__xludf.DUMMYFUNCTION("""COMPUTED_VALUE"""),"張O瑄")</f>
        <v>張O瑄</v>
      </c>
      <c r="C582" s="9" t="str">
        <f>IFERROR(__xludf.DUMMYFUNCTION("""COMPUTED_VALUE"""),"315*****chcvs.tw")</f>
        <v>315*****chcvs.tw</v>
      </c>
      <c r="D582" s="9" t="str">
        <f>IFERROR(__xludf.DUMMYFUNCTION("""COMPUTED_VALUE"""),"臺中市立臺中家事商業高級中等學校")</f>
        <v>臺中市立臺中家事商業高級中等學校</v>
      </c>
      <c r="E582" s="9" t="str">
        <f>IFERROR(__xludf.DUMMYFUNCTION("""COMPUTED_VALUE"""),"資料處理")</f>
        <v>資料處理</v>
      </c>
      <c r="F582" s="9" t="str">
        <f>IFERROR(__xludf.DUMMYFUNCTION("""COMPUTED_VALUE"""),"二年級")</f>
        <v>二年級</v>
      </c>
      <c r="G582" s="9" t="str">
        <f>IFERROR(__xludf.DUMMYFUNCTION("""COMPUTED_VALUE"""),"獎狀")</f>
        <v>獎狀</v>
      </c>
      <c r="H582" s="9"/>
    </row>
    <row r="583">
      <c r="A583" s="13" t="s">
        <v>11</v>
      </c>
      <c r="B583" s="9" t="str">
        <f>IFERROR(__xludf.DUMMYFUNCTION("""COMPUTED_VALUE"""),"賴O蓁")</f>
        <v>賴O蓁</v>
      </c>
      <c r="C583" s="9" t="str">
        <f>IFERROR(__xludf.DUMMYFUNCTION("""COMPUTED_VALUE"""),"315*****chcvs.tw")</f>
        <v>315*****chcvs.tw</v>
      </c>
      <c r="D583" s="9" t="str">
        <f>IFERROR(__xludf.DUMMYFUNCTION("""COMPUTED_VALUE"""),"臺中市立臺中家事商業高級中等學校")</f>
        <v>臺中市立臺中家事商業高級中等學校</v>
      </c>
      <c r="E583" s="9" t="str">
        <f>IFERROR(__xludf.DUMMYFUNCTION("""COMPUTED_VALUE"""),"資料處理")</f>
        <v>資料處理</v>
      </c>
      <c r="F583" s="9" t="str">
        <f>IFERROR(__xludf.DUMMYFUNCTION("""COMPUTED_VALUE"""),"二年級")</f>
        <v>二年級</v>
      </c>
      <c r="G583" s="9" t="str">
        <f>IFERROR(__xludf.DUMMYFUNCTION("""COMPUTED_VALUE"""),"★商品卡$1000")</f>
        <v>★商品卡$1000</v>
      </c>
      <c r="H583" s="9"/>
    </row>
    <row r="584">
      <c r="A584" s="13" t="s">
        <v>11</v>
      </c>
      <c r="B584" s="9" t="str">
        <f>IFERROR(__xludf.DUMMYFUNCTION("""COMPUTED_VALUE"""),"葉O岑")</f>
        <v>葉O岑</v>
      </c>
      <c r="C584" s="9" t="str">
        <f>IFERROR(__xludf.DUMMYFUNCTION("""COMPUTED_VALUE"""),"315*****chcvs.tw")</f>
        <v>315*****chcvs.tw</v>
      </c>
      <c r="D584" s="9" t="str">
        <f>IFERROR(__xludf.DUMMYFUNCTION("""COMPUTED_VALUE"""),"臺中市立臺中家事商業高級中等學校")</f>
        <v>臺中市立臺中家事商業高級中等學校</v>
      </c>
      <c r="E584" s="9" t="str">
        <f>IFERROR(__xludf.DUMMYFUNCTION("""COMPUTED_VALUE"""),"資料處理科")</f>
        <v>資料處理科</v>
      </c>
      <c r="F584" s="9" t="str">
        <f>IFERROR(__xludf.DUMMYFUNCTION("""COMPUTED_VALUE"""),"二年級")</f>
        <v>二年級</v>
      </c>
      <c r="G584" s="9" t="str">
        <f>IFERROR(__xludf.DUMMYFUNCTION("""COMPUTED_VALUE"""),"獎狀")</f>
        <v>獎狀</v>
      </c>
      <c r="H584" s="9"/>
    </row>
    <row r="585">
      <c r="A585" s="13" t="s">
        <v>11</v>
      </c>
      <c r="B585" s="9" t="str">
        <f>IFERROR(__xludf.DUMMYFUNCTION("""COMPUTED_VALUE"""),"張O欣")</f>
        <v>張O欣</v>
      </c>
      <c r="C585" s="9" t="str">
        <f>IFERROR(__xludf.DUMMYFUNCTION("""COMPUTED_VALUE"""),"315*****chcvs.tw")</f>
        <v>315*****chcvs.tw</v>
      </c>
      <c r="D585" s="9" t="str">
        <f>IFERROR(__xludf.DUMMYFUNCTION("""COMPUTED_VALUE"""),"臺中市立臺中家事商業高級中等學校")</f>
        <v>臺中市立臺中家事商業高級中等學校</v>
      </c>
      <c r="E585" s="9" t="str">
        <f>IFERROR(__xludf.DUMMYFUNCTION("""COMPUTED_VALUE"""),"資料處理科")</f>
        <v>資料處理科</v>
      </c>
      <c r="F585" s="9" t="str">
        <f>IFERROR(__xludf.DUMMYFUNCTION("""COMPUTED_VALUE"""),"二年級")</f>
        <v>二年級</v>
      </c>
      <c r="G585" s="9" t="str">
        <f>IFERROR(__xludf.DUMMYFUNCTION("""COMPUTED_VALUE"""),"獎狀")</f>
        <v>獎狀</v>
      </c>
      <c r="H585" s="9"/>
    </row>
    <row r="586">
      <c r="A586" s="13" t="s">
        <v>11</v>
      </c>
      <c r="B586" s="9" t="str">
        <f>IFERROR(__xludf.DUMMYFUNCTION("""COMPUTED_VALUE"""),"謝O妤")</f>
        <v>謝O妤</v>
      </c>
      <c r="C586" s="9" t="str">
        <f>IFERROR(__xludf.DUMMYFUNCTION("""COMPUTED_VALUE"""),"xin*****509@gmail.com")</f>
        <v>xin*****509@gmail.com</v>
      </c>
      <c r="D586" s="9" t="str">
        <f>IFERROR(__xludf.DUMMYFUNCTION("""COMPUTED_VALUE"""),"臺中市立臺中家事商業高級中等學校")</f>
        <v>臺中市立臺中家事商業高級中等學校</v>
      </c>
      <c r="E586" s="9" t="str">
        <f>IFERROR(__xludf.DUMMYFUNCTION("""COMPUTED_VALUE"""),"資料處理科")</f>
        <v>資料處理科</v>
      </c>
      <c r="F586" s="9" t="str">
        <f>IFERROR(__xludf.DUMMYFUNCTION("""COMPUTED_VALUE"""),"二年級")</f>
        <v>二年級</v>
      </c>
      <c r="G586" s="9" t="str">
        <f>IFERROR(__xludf.DUMMYFUNCTION("""COMPUTED_VALUE"""),"獎狀")</f>
        <v>獎狀</v>
      </c>
      <c r="H586" s="9"/>
    </row>
    <row r="587">
      <c r="A587" s="13" t="s">
        <v>11</v>
      </c>
      <c r="B587" s="9" t="str">
        <f>IFERROR(__xludf.DUMMYFUNCTION("""COMPUTED_VALUE"""),"葉O綺")</f>
        <v>葉O綺</v>
      </c>
      <c r="C587" s="9" t="str">
        <f>IFERROR(__xludf.DUMMYFUNCTION("""COMPUTED_VALUE"""),"315*****chcvs.tw")</f>
        <v>315*****chcvs.tw</v>
      </c>
      <c r="D587" s="9" t="str">
        <f>IFERROR(__xludf.DUMMYFUNCTION("""COMPUTED_VALUE"""),"臺中市立臺中家事商業高級中等學校")</f>
        <v>臺中市立臺中家事商業高級中等學校</v>
      </c>
      <c r="E587" s="9" t="str">
        <f>IFERROR(__xludf.DUMMYFUNCTION("""COMPUTED_VALUE"""),"資料處理科")</f>
        <v>資料處理科</v>
      </c>
      <c r="F587" s="9" t="str">
        <f>IFERROR(__xludf.DUMMYFUNCTION("""COMPUTED_VALUE"""),"二年級")</f>
        <v>二年級</v>
      </c>
      <c r="G587" s="9" t="str">
        <f>IFERROR(__xludf.DUMMYFUNCTION("""COMPUTED_VALUE"""),"獎狀")</f>
        <v>獎狀</v>
      </c>
      <c r="H587" s="9"/>
    </row>
    <row r="588">
      <c r="A588" s="13" t="s">
        <v>11</v>
      </c>
      <c r="B588" s="9" t="str">
        <f>IFERROR(__xludf.DUMMYFUNCTION("""COMPUTED_VALUE"""),"鄭O澄")</f>
        <v>鄭O澄</v>
      </c>
      <c r="C588" s="9" t="str">
        <f>IFERROR(__xludf.DUMMYFUNCTION("""COMPUTED_VALUE"""),"315*****chcvs.tw")</f>
        <v>315*****chcvs.tw</v>
      </c>
      <c r="D588" s="9" t="str">
        <f>IFERROR(__xludf.DUMMYFUNCTION("""COMPUTED_VALUE"""),"臺中市立臺中家事商業高級中等學校")</f>
        <v>臺中市立臺中家事商業高級中等學校</v>
      </c>
      <c r="E588" s="9" t="str">
        <f>IFERROR(__xludf.DUMMYFUNCTION("""COMPUTED_VALUE"""),"資料處理科")</f>
        <v>資料處理科</v>
      </c>
      <c r="F588" s="9" t="str">
        <f>IFERROR(__xludf.DUMMYFUNCTION("""COMPUTED_VALUE"""),"二年級")</f>
        <v>二年級</v>
      </c>
      <c r="G588" s="9" t="str">
        <f>IFERROR(__xludf.DUMMYFUNCTION("""COMPUTED_VALUE"""),"獎狀")</f>
        <v>獎狀</v>
      </c>
      <c r="H588" s="9"/>
    </row>
    <row r="589">
      <c r="A589" s="13" t="s">
        <v>11</v>
      </c>
      <c r="B589" s="9" t="str">
        <f>IFERROR(__xludf.DUMMYFUNCTION("""COMPUTED_VALUE"""),"黃O菁")</f>
        <v>黃O菁</v>
      </c>
      <c r="C589" s="9" t="str">
        <f>IFERROR(__xludf.DUMMYFUNCTION("""COMPUTED_VALUE"""),"315*****chcvs.tw")</f>
        <v>315*****chcvs.tw</v>
      </c>
      <c r="D589" s="9" t="str">
        <f>IFERROR(__xludf.DUMMYFUNCTION("""COMPUTED_VALUE"""),"臺中市立臺中家事商業高級中等學校")</f>
        <v>臺中市立臺中家事商業高級中等學校</v>
      </c>
      <c r="E589" s="9" t="str">
        <f>IFERROR(__xludf.DUMMYFUNCTION("""COMPUTED_VALUE"""),"資料處理科")</f>
        <v>資料處理科</v>
      </c>
      <c r="F589" s="9" t="str">
        <f>IFERROR(__xludf.DUMMYFUNCTION("""COMPUTED_VALUE"""),"二年級")</f>
        <v>二年級</v>
      </c>
      <c r="G589" s="9" t="str">
        <f>IFERROR(__xludf.DUMMYFUNCTION("""COMPUTED_VALUE"""),"獎狀")</f>
        <v>獎狀</v>
      </c>
      <c r="H589" s="9"/>
    </row>
    <row r="590">
      <c r="A590" s="13" t="s">
        <v>11</v>
      </c>
      <c r="B590" s="9" t="str">
        <f>IFERROR(__xludf.DUMMYFUNCTION("""COMPUTED_VALUE"""),"廖O鈊")</f>
        <v>廖O鈊</v>
      </c>
      <c r="C590" s="9" t="str">
        <f>IFERROR(__xludf.DUMMYFUNCTION("""COMPUTED_VALUE"""),"315*****chcvs.tw")</f>
        <v>315*****chcvs.tw</v>
      </c>
      <c r="D590" s="9" t="str">
        <f>IFERROR(__xludf.DUMMYFUNCTION("""COMPUTED_VALUE"""),"臺中市立臺中家事商業高級中等學校")</f>
        <v>臺中市立臺中家事商業高級中等學校</v>
      </c>
      <c r="E590" s="9" t="str">
        <f>IFERROR(__xludf.DUMMYFUNCTION("""COMPUTED_VALUE"""),"資料處理科")</f>
        <v>資料處理科</v>
      </c>
      <c r="F590" s="9" t="str">
        <f>IFERROR(__xludf.DUMMYFUNCTION("""COMPUTED_VALUE"""),"二年級")</f>
        <v>二年級</v>
      </c>
      <c r="G590" s="9" t="str">
        <f>IFERROR(__xludf.DUMMYFUNCTION("""COMPUTED_VALUE"""),"獎狀")</f>
        <v>獎狀</v>
      </c>
      <c r="H590" s="9"/>
    </row>
    <row r="591">
      <c r="A591" s="13" t="s">
        <v>11</v>
      </c>
      <c r="B591" s="9" t="str">
        <f>IFERROR(__xludf.DUMMYFUNCTION("""COMPUTED_VALUE"""),"劉O浩")</f>
        <v>劉O浩</v>
      </c>
      <c r="C591" s="9" t="str">
        <f>IFERROR(__xludf.DUMMYFUNCTION("""COMPUTED_VALUE"""),"315*****chcvs.tw")</f>
        <v>315*****chcvs.tw</v>
      </c>
      <c r="D591" s="9" t="str">
        <f>IFERROR(__xludf.DUMMYFUNCTION("""COMPUTED_VALUE"""),"臺中市立臺中家事商業高級中等學校")</f>
        <v>臺中市立臺中家事商業高級中等學校</v>
      </c>
      <c r="E591" s="9" t="str">
        <f>IFERROR(__xludf.DUMMYFUNCTION("""COMPUTED_VALUE"""),"資料處理科")</f>
        <v>資料處理科</v>
      </c>
      <c r="F591" s="9" t="str">
        <f>IFERROR(__xludf.DUMMYFUNCTION("""COMPUTED_VALUE"""),"二年級")</f>
        <v>二年級</v>
      </c>
      <c r="G591" s="9" t="str">
        <f>IFERROR(__xludf.DUMMYFUNCTION("""COMPUTED_VALUE"""),"獎狀")</f>
        <v>獎狀</v>
      </c>
      <c r="H591" s="9"/>
    </row>
    <row r="592">
      <c r="A592" s="13" t="s">
        <v>11</v>
      </c>
      <c r="B592" s="9" t="str">
        <f>IFERROR(__xludf.DUMMYFUNCTION("""COMPUTED_VALUE"""),"王O爵")</f>
        <v>王O爵</v>
      </c>
      <c r="C592" s="9" t="str">
        <f>IFERROR(__xludf.DUMMYFUNCTION("""COMPUTED_VALUE"""),"315*****chcvs.tw")</f>
        <v>315*****chcvs.tw</v>
      </c>
      <c r="D592" s="9" t="str">
        <f>IFERROR(__xludf.DUMMYFUNCTION("""COMPUTED_VALUE"""),"臺中市立臺中家事商業高級中等學校")</f>
        <v>臺中市立臺中家事商業高級中等學校</v>
      </c>
      <c r="E592" s="9" t="str">
        <f>IFERROR(__xludf.DUMMYFUNCTION("""COMPUTED_VALUE"""),"資訊處理科")</f>
        <v>資訊處理科</v>
      </c>
      <c r="F592" s="9" t="str">
        <f>IFERROR(__xludf.DUMMYFUNCTION("""COMPUTED_VALUE"""),"二年級")</f>
        <v>二年級</v>
      </c>
      <c r="G592" s="9" t="str">
        <f>IFERROR(__xludf.DUMMYFUNCTION("""COMPUTED_VALUE"""),"獎狀")</f>
        <v>獎狀</v>
      </c>
      <c r="H592" s="9"/>
    </row>
    <row r="593">
      <c r="A593" s="13" t="s">
        <v>11</v>
      </c>
      <c r="B593" s="9" t="str">
        <f>IFERROR(__xludf.DUMMYFUNCTION("""COMPUTED_VALUE"""),"蔡O恬")</f>
        <v>蔡O恬</v>
      </c>
      <c r="C593" s="9" t="str">
        <f>IFERROR(__xludf.DUMMYFUNCTION("""COMPUTED_VALUE"""),"315*****chcvs.tw")</f>
        <v>315*****chcvs.tw</v>
      </c>
      <c r="D593" s="9" t="str">
        <f>IFERROR(__xludf.DUMMYFUNCTION("""COMPUTED_VALUE"""),"臺中市立臺中家事商業高級中等學校")</f>
        <v>臺中市立臺中家事商業高級中等學校</v>
      </c>
      <c r="E593" s="9" t="str">
        <f>IFERROR(__xludf.DUMMYFUNCTION("""COMPUTED_VALUE"""),"資處科")</f>
        <v>資處科</v>
      </c>
      <c r="F593" s="9" t="str">
        <f>IFERROR(__xludf.DUMMYFUNCTION("""COMPUTED_VALUE"""),"二年級")</f>
        <v>二年級</v>
      </c>
      <c r="G593" s="9" t="str">
        <f>IFERROR(__xludf.DUMMYFUNCTION("""COMPUTED_VALUE"""),"獎狀")</f>
        <v>獎狀</v>
      </c>
      <c r="H593" s="9"/>
    </row>
    <row r="594">
      <c r="A594" s="13" t="s">
        <v>11</v>
      </c>
      <c r="B594" s="9" t="str">
        <f>IFERROR(__xludf.DUMMYFUNCTION("""COMPUTED_VALUE"""),"陳O智")</f>
        <v>陳O智</v>
      </c>
      <c r="C594" s="9" t="str">
        <f>IFERROR(__xludf.DUMMYFUNCTION("""COMPUTED_VALUE"""),"216*****chcvs.tw")</f>
        <v>216*****chcvs.tw</v>
      </c>
      <c r="D594" s="9" t="str">
        <f>IFERROR(__xludf.DUMMYFUNCTION("""COMPUTED_VALUE"""),"臺中市立臺中家事商業高級中等學校")</f>
        <v>臺中市立臺中家事商業高級中等學校</v>
      </c>
      <c r="E594" s="9" t="str">
        <f>IFERROR(__xludf.DUMMYFUNCTION("""COMPUTED_VALUE"""),"應英科")</f>
        <v>應英科</v>
      </c>
      <c r="F594" s="9" t="str">
        <f>IFERROR(__xludf.DUMMYFUNCTION("""COMPUTED_VALUE"""),"三年級")</f>
        <v>三年級</v>
      </c>
      <c r="G594" s="9" t="str">
        <f>IFERROR(__xludf.DUMMYFUNCTION("""COMPUTED_VALUE"""),"獎狀")</f>
        <v>獎狀</v>
      </c>
      <c r="H594" s="9"/>
    </row>
    <row r="595">
      <c r="A595" s="13" t="s">
        <v>11</v>
      </c>
      <c r="B595" s="9" t="str">
        <f>IFERROR(__xludf.DUMMYFUNCTION("""COMPUTED_VALUE"""),"吳O浚")</f>
        <v>吳O浚</v>
      </c>
      <c r="C595" s="9" t="str">
        <f>IFERROR(__xludf.DUMMYFUNCTION("""COMPUTED_VALUE"""),"216*****chcvs.tw")</f>
        <v>216*****chcvs.tw</v>
      </c>
      <c r="D595" s="9" t="str">
        <f>IFERROR(__xludf.DUMMYFUNCTION("""COMPUTED_VALUE"""),"臺中市立臺中家事商業高級中等學校")</f>
        <v>臺中市立臺中家事商業高級中等學校</v>
      </c>
      <c r="E595" s="9" t="str">
        <f>IFERROR(__xludf.DUMMYFUNCTION("""COMPUTED_VALUE"""),"應英科")</f>
        <v>應英科</v>
      </c>
      <c r="F595" s="9" t="str">
        <f>IFERROR(__xludf.DUMMYFUNCTION("""COMPUTED_VALUE"""),"三年級")</f>
        <v>三年級</v>
      </c>
      <c r="G595" s="9" t="str">
        <f>IFERROR(__xludf.DUMMYFUNCTION("""COMPUTED_VALUE"""),"獎狀")</f>
        <v>獎狀</v>
      </c>
      <c r="H595" s="9"/>
    </row>
    <row r="596">
      <c r="A596" s="13" t="s">
        <v>11</v>
      </c>
      <c r="B596" s="9" t="str">
        <f>IFERROR(__xludf.DUMMYFUNCTION("""COMPUTED_VALUE"""),"楊O淇")</f>
        <v>楊O淇</v>
      </c>
      <c r="C596" s="9" t="str">
        <f>IFERROR(__xludf.DUMMYFUNCTION("""COMPUTED_VALUE"""),"u21*****tcivs.tc.edu.tw")</f>
        <v>u21*****tcivs.tc.edu.tw</v>
      </c>
      <c r="D596" s="9" t="str">
        <f>IFERROR(__xludf.DUMMYFUNCTION("""COMPUTED_VALUE"""),"臺中市立臺中工業高級中等學校")</f>
        <v>臺中市立臺中工業高級中等學校</v>
      </c>
      <c r="E596" s="9" t="str">
        <f>IFERROR(__xludf.DUMMYFUNCTION("""COMPUTED_VALUE"""),"土木科")</f>
        <v>土木科</v>
      </c>
      <c r="F596" s="9" t="str">
        <f>IFERROR(__xludf.DUMMYFUNCTION("""COMPUTED_VALUE"""),"二年級")</f>
        <v>二年級</v>
      </c>
      <c r="G596" s="9" t="str">
        <f>IFERROR(__xludf.DUMMYFUNCTION("""COMPUTED_VALUE"""),"獎狀")</f>
        <v>獎狀</v>
      </c>
      <c r="H596" s="9"/>
    </row>
    <row r="597">
      <c r="A597" s="13" t="s">
        <v>11</v>
      </c>
      <c r="B597" s="9" t="str">
        <f>IFERROR(__xludf.DUMMYFUNCTION("""COMPUTED_VALUE"""),"江O成")</f>
        <v>江O成</v>
      </c>
      <c r="C597" s="9" t="str">
        <f>IFERROR(__xludf.DUMMYFUNCTION("""COMPUTED_VALUE"""),"u21*****tcivs.tc.edu.tw")</f>
        <v>u21*****tcivs.tc.edu.tw</v>
      </c>
      <c r="D597" s="9" t="str">
        <f>IFERROR(__xludf.DUMMYFUNCTION("""COMPUTED_VALUE"""),"臺中市立臺中工業高級中等學校")</f>
        <v>臺中市立臺中工業高級中等學校</v>
      </c>
      <c r="E597" s="9" t="str">
        <f>IFERROR(__xludf.DUMMYFUNCTION("""COMPUTED_VALUE"""),"冷凍科")</f>
        <v>冷凍科</v>
      </c>
      <c r="F597" s="9" t="str">
        <f>IFERROR(__xludf.DUMMYFUNCTION("""COMPUTED_VALUE"""),"二年級")</f>
        <v>二年級</v>
      </c>
      <c r="G597" s="9" t="str">
        <f>IFERROR(__xludf.DUMMYFUNCTION("""COMPUTED_VALUE"""),"獎狀")</f>
        <v>獎狀</v>
      </c>
      <c r="H597" s="9"/>
    </row>
    <row r="598">
      <c r="A598" s="13" t="s">
        <v>11</v>
      </c>
      <c r="B598" s="9" t="str">
        <f>IFERROR(__xludf.DUMMYFUNCTION("""COMPUTED_VALUE"""),"陳O臻")</f>
        <v>陳O臻</v>
      </c>
      <c r="C598" s="9" t="str">
        <f>IFERROR(__xludf.DUMMYFUNCTION("""COMPUTED_VALUE"""),"k09*****225@gmail.com")</f>
        <v>k09*****225@gmail.com</v>
      </c>
      <c r="D598" s="9" t="str">
        <f>IFERROR(__xludf.DUMMYFUNCTION("""COMPUTED_VALUE"""),"臺中市私立新民高級中學")</f>
        <v>臺中市私立新民高級中學</v>
      </c>
      <c r="E598" s="9" t="str">
        <f>IFERROR(__xludf.DUMMYFUNCTION("""COMPUTED_VALUE"""),"商業經營科")</f>
        <v>商業經營科</v>
      </c>
      <c r="F598" s="9" t="str">
        <f>IFERROR(__xludf.DUMMYFUNCTION("""COMPUTED_VALUE"""),"二年級")</f>
        <v>二年級</v>
      </c>
      <c r="G598" s="9" t="str">
        <f>IFERROR(__xludf.DUMMYFUNCTION("""COMPUTED_VALUE"""),"獎狀")</f>
        <v>獎狀</v>
      </c>
      <c r="H598" s="9"/>
    </row>
    <row r="599">
      <c r="A599" s="13" t="s">
        <v>11</v>
      </c>
      <c r="B599" s="9" t="str">
        <f>IFERROR(__xludf.DUMMYFUNCTION("""COMPUTED_VALUE"""),"楊O發")</f>
        <v>楊O發</v>
      </c>
      <c r="C599" s="9" t="str">
        <f>IFERROR(__xludf.DUMMYFUNCTION("""COMPUTED_VALUE"""),"b09*****768@gmail.com")</f>
        <v>b09*****768@gmail.com</v>
      </c>
      <c r="D599" s="9" t="str">
        <f>IFERROR(__xludf.DUMMYFUNCTION("""COMPUTED_VALUE"""),"臺中市私立新民高級中學")</f>
        <v>臺中市私立新民高級中學</v>
      </c>
      <c r="E599" s="9" t="str">
        <f>IFERROR(__xludf.DUMMYFUNCTION("""COMPUTED_VALUE"""),"商業經營科")</f>
        <v>商業經營科</v>
      </c>
      <c r="F599" s="9" t="str">
        <f>IFERROR(__xludf.DUMMYFUNCTION("""COMPUTED_VALUE"""),"二年級")</f>
        <v>二年級</v>
      </c>
      <c r="G599" s="9" t="str">
        <f>IFERROR(__xludf.DUMMYFUNCTION("""COMPUTED_VALUE"""),"○商品卡$500")</f>
        <v>○商品卡$500</v>
      </c>
      <c r="H599" s="9"/>
    </row>
    <row r="600">
      <c r="A600" s="13" t="s">
        <v>11</v>
      </c>
      <c r="B600" s="9" t="str">
        <f>IFERROR(__xludf.DUMMYFUNCTION("""COMPUTED_VALUE"""),"潘O映")</f>
        <v>潘O映</v>
      </c>
      <c r="C600" s="9" t="str">
        <f>IFERROR(__xludf.DUMMYFUNCTION("""COMPUTED_VALUE"""),"113*****@stu.shinmin.tc.edu.tw")</f>
        <v>113*****@stu.shinmin.tc.edu.tw</v>
      </c>
      <c r="D600" s="9" t="str">
        <f>IFERROR(__xludf.DUMMYFUNCTION("""COMPUTED_VALUE"""),"臺中市私立新民高級中學")</f>
        <v>臺中市私立新民高級中學</v>
      </c>
      <c r="E600" s="9" t="str">
        <f>IFERROR(__xludf.DUMMYFUNCTION("""COMPUTED_VALUE"""),"商業經營科")</f>
        <v>商業經營科</v>
      </c>
      <c r="F600" s="9" t="str">
        <f>IFERROR(__xludf.DUMMYFUNCTION("""COMPUTED_VALUE"""),"二年級")</f>
        <v>二年級</v>
      </c>
      <c r="G600" s="9" t="str">
        <f>IFERROR(__xludf.DUMMYFUNCTION("""COMPUTED_VALUE"""),"獎狀")</f>
        <v>獎狀</v>
      </c>
      <c r="H600" s="9"/>
    </row>
    <row r="601">
      <c r="A601" s="13" t="s">
        <v>11</v>
      </c>
      <c r="B601" s="9" t="str">
        <f>IFERROR(__xludf.DUMMYFUNCTION("""COMPUTED_VALUE"""),"毛O蘋")</f>
        <v>毛O蘋</v>
      </c>
      <c r="C601" s="9" t="str">
        <f>IFERROR(__xludf.DUMMYFUNCTION("""COMPUTED_VALUE"""),"113*****@stu.shinmin.tc.edu.tw")</f>
        <v>113*****@stu.shinmin.tc.edu.tw</v>
      </c>
      <c r="D601" s="9" t="str">
        <f>IFERROR(__xludf.DUMMYFUNCTION("""COMPUTED_VALUE"""),"臺中市私立新民高級中學")</f>
        <v>臺中市私立新民高級中學</v>
      </c>
      <c r="E601" s="9" t="str">
        <f>IFERROR(__xludf.DUMMYFUNCTION("""COMPUTED_VALUE"""),"商業經營科")</f>
        <v>商業經營科</v>
      </c>
      <c r="F601" s="9" t="str">
        <f>IFERROR(__xludf.DUMMYFUNCTION("""COMPUTED_VALUE"""),"二年級")</f>
        <v>二年級</v>
      </c>
      <c r="G601" s="9" t="str">
        <f>IFERROR(__xludf.DUMMYFUNCTION("""COMPUTED_VALUE"""),"獎狀")</f>
        <v>獎狀</v>
      </c>
      <c r="H601" s="9"/>
    </row>
    <row r="602">
      <c r="A602" s="13" t="s">
        <v>11</v>
      </c>
      <c r="B602" s="9" t="str">
        <f>IFERROR(__xludf.DUMMYFUNCTION("""COMPUTED_VALUE"""),"范O芸")</f>
        <v>范O芸</v>
      </c>
      <c r="C602" s="9" t="str">
        <f>IFERROR(__xludf.DUMMYFUNCTION("""COMPUTED_VALUE"""),"sno*****20@gmail.com")</f>
        <v>sno*****20@gmail.com</v>
      </c>
      <c r="D602" s="9" t="str">
        <f>IFERROR(__xludf.DUMMYFUNCTION("""COMPUTED_VALUE"""),"臺中市私立新民高級中學")</f>
        <v>臺中市私立新民高級中學</v>
      </c>
      <c r="E602" s="9" t="str">
        <f>IFERROR(__xludf.DUMMYFUNCTION("""COMPUTED_VALUE"""),"商業經營科")</f>
        <v>商業經營科</v>
      </c>
      <c r="F602" s="9" t="str">
        <f>IFERROR(__xludf.DUMMYFUNCTION("""COMPUTED_VALUE"""),"二年級")</f>
        <v>二年級</v>
      </c>
      <c r="G602" s="9" t="str">
        <f>IFERROR(__xludf.DUMMYFUNCTION("""COMPUTED_VALUE"""),"■商品卡$200")</f>
        <v>■商品卡$200</v>
      </c>
      <c r="H602" s="9"/>
    </row>
    <row r="603">
      <c r="A603" s="13" t="s">
        <v>11</v>
      </c>
      <c r="B603" s="9" t="str">
        <f>IFERROR(__xludf.DUMMYFUNCTION("""COMPUTED_VALUE"""),"廖O安")</f>
        <v>廖O安</v>
      </c>
      <c r="C603" s="9" t="str">
        <f>IFERROR(__xludf.DUMMYFUNCTION("""COMPUTED_VALUE"""),"113*****@stu.shinmin.tc.edu.tw")</f>
        <v>113*****@stu.shinmin.tc.edu.tw</v>
      </c>
      <c r="D603" s="9" t="str">
        <f>IFERROR(__xludf.DUMMYFUNCTION("""COMPUTED_VALUE"""),"臺中市私立新民高級中學")</f>
        <v>臺中市私立新民高級中學</v>
      </c>
      <c r="E603" s="9" t="str">
        <f>IFERROR(__xludf.DUMMYFUNCTION("""COMPUTED_VALUE"""),"商業經營科")</f>
        <v>商業經營科</v>
      </c>
      <c r="F603" s="9" t="str">
        <f>IFERROR(__xludf.DUMMYFUNCTION("""COMPUTED_VALUE"""),"二年級")</f>
        <v>二年級</v>
      </c>
      <c r="G603" s="9" t="str">
        <f>IFERROR(__xludf.DUMMYFUNCTION("""COMPUTED_VALUE"""),"獎狀")</f>
        <v>獎狀</v>
      </c>
      <c r="H603" s="9"/>
    </row>
    <row r="604">
      <c r="A604" s="13" t="s">
        <v>11</v>
      </c>
      <c r="B604" s="9" t="str">
        <f>IFERROR(__xludf.DUMMYFUNCTION("""COMPUTED_VALUE"""),"陳O倫")</f>
        <v>陳O倫</v>
      </c>
      <c r="C604" s="9" t="str">
        <f>IFERROR(__xludf.DUMMYFUNCTION("""COMPUTED_VALUE"""),"113*****@stu.shinmin.tc.edu.tw")</f>
        <v>113*****@stu.shinmin.tc.edu.tw</v>
      </c>
      <c r="D604" s="9" t="str">
        <f>IFERROR(__xludf.DUMMYFUNCTION("""COMPUTED_VALUE"""),"臺中市私立新民高級中學")</f>
        <v>臺中市私立新民高級中學</v>
      </c>
      <c r="E604" s="9" t="str">
        <f>IFERROR(__xludf.DUMMYFUNCTION("""COMPUTED_VALUE"""),"商業經營科")</f>
        <v>商業經營科</v>
      </c>
      <c r="F604" s="9" t="str">
        <f>IFERROR(__xludf.DUMMYFUNCTION("""COMPUTED_VALUE"""),"二年級")</f>
        <v>二年級</v>
      </c>
      <c r="G604" s="9" t="str">
        <f>IFERROR(__xludf.DUMMYFUNCTION("""COMPUTED_VALUE"""),"獎狀")</f>
        <v>獎狀</v>
      </c>
      <c r="H604" s="9"/>
    </row>
    <row r="605">
      <c r="A605" s="13" t="s">
        <v>11</v>
      </c>
      <c r="B605" s="9" t="str">
        <f>IFERROR(__xludf.DUMMYFUNCTION("""COMPUTED_VALUE"""),"陳O筠")</f>
        <v>陳O筠</v>
      </c>
      <c r="C605" s="9" t="str">
        <f>IFERROR(__xludf.DUMMYFUNCTION("""COMPUTED_VALUE"""),"113*****@stu.shinmin.tc.edu.tw")</f>
        <v>113*****@stu.shinmin.tc.edu.tw</v>
      </c>
      <c r="D605" s="9" t="str">
        <f>IFERROR(__xludf.DUMMYFUNCTION("""COMPUTED_VALUE"""),"臺中市私立新民高級中學")</f>
        <v>臺中市私立新民高級中學</v>
      </c>
      <c r="E605" s="9" t="str">
        <f>IFERROR(__xludf.DUMMYFUNCTION("""COMPUTED_VALUE"""),"商業經營科")</f>
        <v>商業經營科</v>
      </c>
      <c r="F605" s="9" t="str">
        <f>IFERROR(__xludf.DUMMYFUNCTION("""COMPUTED_VALUE"""),"二年級")</f>
        <v>二年級</v>
      </c>
      <c r="G605" s="9" t="str">
        <f>IFERROR(__xludf.DUMMYFUNCTION("""COMPUTED_VALUE"""),"獎狀")</f>
        <v>獎狀</v>
      </c>
      <c r="H605" s="9"/>
    </row>
    <row r="606">
      <c r="A606" s="13" t="s">
        <v>11</v>
      </c>
      <c r="B606" s="9" t="str">
        <f>IFERROR(__xludf.DUMMYFUNCTION("""COMPUTED_VALUE"""),"董O渝")</f>
        <v>董O渝</v>
      </c>
      <c r="C606" s="9" t="str">
        <f>IFERROR(__xludf.DUMMYFUNCTION("""COMPUTED_VALUE"""),"113*****@stu.shinmin.tc.edu.tw")</f>
        <v>113*****@stu.shinmin.tc.edu.tw</v>
      </c>
      <c r="D606" s="9" t="str">
        <f>IFERROR(__xludf.DUMMYFUNCTION("""COMPUTED_VALUE"""),"臺中市私立新民高級中學")</f>
        <v>臺中市私立新民高級中學</v>
      </c>
      <c r="E606" s="9" t="str">
        <f>IFERROR(__xludf.DUMMYFUNCTION("""COMPUTED_VALUE"""),"商業經營科")</f>
        <v>商業經營科</v>
      </c>
      <c r="F606" s="9" t="str">
        <f>IFERROR(__xludf.DUMMYFUNCTION("""COMPUTED_VALUE"""),"二年級")</f>
        <v>二年級</v>
      </c>
      <c r="G606" s="9" t="str">
        <f>IFERROR(__xludf.DUMMYFUNCTION("""COMPUTED_VALUE"""),"獎狀")</f>
        <v>獎狀</v>
      </c>
      <c r="H606" s="9"/>
    </row>
    <row r="607">
      <c r="A607" s="13" t="s">
        <v>11</v>
      </c>
      <c r="B607" s="9" t="str">
        <f>IFERROR(__xludf.DUMMYFUNCTION("""COMPUTED_VALUE"""),"吳O潔")</f>
        <v>吳O潔</v>
      </c>
      <c r="C607" s="9" t="str">
        <f>IFERROR(__xludf.DUMMYFUNCTION("""COMPUTED_VALUE"""),"113*****@stu.shinmin.tc.edu.tw")</f>
        <v>113*****@stu.shinmin.tc.edu.tw</v>
      </c>
      <c r="D607" s="9" t="str">
        <f>IFERROR(__xludf.DUMMYFUNCTION("""COMPUTED_VALUE"""),"臺中市私立新民高級中學")</f>
        <v>臺中市私立新民高級中學</v>
      </c>
      <c r="E607" s="9" t="str">
        <f>IFERROR(__xludf.DUMMYFUNCTION("""COMPUTED_VALUE"""),"商業經營科")</f>
        <v>商業經營科</v>
      </c>
      <c r="F607" s="9" t="str">
        <f>IFERROR(__xludf.DUMMYFUNCTION("""COMPUTED_VALUE"""),"二年級")</f>
        <v>二年級</v>
      </c>
      <c r="G607" s="9" t="str">
        <f>IFERROR(__xludf.DUMMYFUNCTION("""COMPUTED_VALUE"""),"獎狀")</f>
        <v>獎狀</v>
      </c>
      <c r="H607" s="9"/>
    </row>
    <row r="608">
      <c r="A608" s="13" t="s">
        <v>11</v>
      </c>
      <c r="B608" s="9" t="str">
        <f>IFERROR(__xludf.DUMMYFUNCTION("""COMPUTED_VALUE"""),"林O嫻")</f>
        <v>林O嫻</v>
      </c>
      <c r="C608" s="9" t="str">
        <f>IFERROR(__xludf.DUMMYFUNCTION("""COMPUTED_VALUE"""),"113*****@stu.shinmin.tc.edu.tw")</f>
        <v>113*****@stu.shinmin.tc.edu.tw</v>
      </c>
      <c r="D608" s="9" t="str">
        <f>IFERROR(__xludf.DUMMYFUNCTION("""COMPUTED_VALUE"""),"臺中市私立新民高級中學")</f>
        <v>臺中市私立新民高級中學</v>
      </c>
      <c r="E608" s="9" t="str">
        <f>IFERROR(__xludf.DUMMYFUNCTION("""COMPUTED_VALUE"""),"應英科")</f>
        <v>應英科</v>
      </c>
      <c r="F608" s="9" t="str">
        <f>IFERROR(__xludf.DUMMYFUNCTION("""COMPUTED_VALUE"""),"二年級")</f>
        <v>二年級</v>
      </c>
      <c r="G608" s="9" t="str">
        <f>IFERROR(__xludf.DUMMYFUNCTION("""COMPUTED_VALUE"""),"獎狀")</f>
        <v>獎狀</v>
      </c>
      <c r="H608" s="9"/>
    </row>
    <row r="609">
      <c r="A609" s="13" t="s">
        <v>11</v>
      </c>
      <c r="B609" s="9" t="str">
        <f>IFERROR(__xludf.DUMMYFUNCTION("""COMPUTED_VALUE"""),"林O儒")</f>
        <v>林O儒</v>
      </c>
      <c r="C609" s="9" t="str">
        <f>IFERROR(__xludf.DUMMYFUNCTION("""COMPUTED_VALUE"""),"she*****n0256@gmail.com")</f>
        <v>she*****n0256@gmail.com</v>
      </c>
      <c r="D609" s="9" t="str">
        <f>IFERROR(__xludf.DUMMYFUNCTION("""COMPUTED_VALUE"""),"臺中市私立嶺東高級中學")</f>
        <v>臺中市私立嶺東高級中學</v>
      </c>
      <c r="E609" s="9" t="str">
        <f>IFERROR(__xludf.DUMMYFUNCTION("""COMPUTED_VALUE"""),"應英科")</f>
        <v>應英科</v>
      </c>
      <c r="F609" s="9" t="str">
        <f>IFERROR(__xludf.DUMMYFUNCTION("""COMPUTED_VALUE"""),"一年級")</f>
        <v>一年級</v>
      </c>
      <c r="G609" s="9" t="str">
        <f>IFERROR(__xludf.DUMMYFUNCTION("""COMPUTED_VALUE"""),"獎狀")</f>
        <v>獎狀</v>
      </c>
      <c r="H609" s="9"/>
    </row>
    <row r="610">
      <c r="A610" s="13" t="s">
        <v>11</v>
      </c>
      <c r="B610" s="9" t="str">
        <f>IFERROR(__xludf.DUMMYFUNCTION("""COMPUTED_VALUE"""),"王O翔")</f>
        <v>王O翔</v>
      </c>
      <c r="C610" s="9" t="str">
        <f>IFERROR(__xludf.DUMMYFUNCTION("""COMPUTED_VALUE"""),"507*****t.tc.edu.tw")</f>
        <v>507*****t.tc.edu.tw</v>
      </c>
      <c r="D610" s="9" t="str">
        <f>IFERROR(__xludf.DUMMYFUNCTION("""COMPUTED_VALUE"""),"臺中市私立嶺東高級中學")</f>
        <v>臺中市私立嶺東高級中學</v>
      </c>
      <c r="E610" s="9" t="str">
        <f>IFERROR(__xludf.DUMMYFUNCTION("""COMPUTED_VALUE"""),"應英科")</f>
        <v>應英科</v>
      </c>
      <c r="F610" s="9" t="str">
        <f>IFERROR(__xludf.DUMMYFUNCTION("""COMPUTED_VALUE"""),"一年級")</f>
        <v>一年級</v>
      </c>
      <c r="G610" s="9" t="str">
        <f>IFERROR(__xludf.DUMMYFUNCTION("""COMPUTED_VALUE"""),"獎狀")</f>
        <v>獎狀</v>
      </c>
      <c r="H610" s="9"/>
    </row>
    <row r="611">
      <c r="A611" s="13" t="s">
        <v>11</v>
      </c>
      <c r="B611" s="9" t="str">
        <f>IFERROR(__xludf.DUMMYFUNCTION("""COMPUTED_VALUE"""),"趙O恩")</f>
        <v>趙O恩</v>
      </c>
      <c r="C611" s="9" t="str">
        <f>IFERROR(__xludf.DUMMYFUNCTION("""COMPUTED_VALUE"""),"506*****t.tc.edu.tw")</f>
        <v>506*****t.tc.edu.tw</v>
      </c>
      <c r="D611" s="9" t="str">
        <f>IFERROR(__xludf.DUMMYFUNCTION("""COMPUTED_VALUE"""),"臺中市私立嶺東高級中學")</f>
        <v>臺中市私立嶺東高級中學</v>
      </c>
      <c r="E611" s="9" t="str">
        <f>IFERROR(__xludf.DUMMYFUNCTION("""COMPUTED_VALUE"""),"應英科")</f>
        <v>應英科</v>
      </c>
      <c r="F611" s="9" t="str">
        <f>IFERROR(__xludf.DUMMYFUNCTION("""COMPUTED_VALUE"""),"一年級")</f>
        <v>一年級</v>
      </c>
      <c r="G611" s="9" t="str">
        <f>IFERROR(__xludf.DUMMYFUNCTION("""COMPUTED_VALUE"""),"獎狀")</f>
        <v>獎狀</v>
      </c>
      <c r="H611" s="9"/>
    </row>
    <row r="612">
      <c r="A612" s="13" t="s">
        <v>11</v>
      </c>
      <c r="B612" s="9" t="str">
        <f>IFERROR(__xludf.DUMMYFUNCTION("""COMPUTED_VALUE"""),"趙O婕")</f>
        <v>趙O婕</v>
      </c>
      <c r="C612" s="9" t="str">
        <f>IFERROR(__xludf.DUMMYFUNCTION("""COMPUTED_VALUE"""),"508*****t.tc.edu.tw")</f>
        <v>508*****t.tc.edu.tw</v>
      </c>
      <c r="D612" s="9" t="str">
        <f>IFERROR(__xludf.DUMMYFUNCTION("""COMPUTED_VALUE"""),"臺中市私立嶺東高級中學")</f>
        <v>臺中市私立嶺東高級中學</v>
      </c>
      <c r="E612" s="9" t="str">
        <f>IFERROR(__xludf.DUMMYFUNCTION("""COMPUTED_VALUE"""),"應英科")</f>
        <v>應英科</v>
      </c>
      <c r="F612" s="9" t="str">
        <f>IFERROR(__xludf.DUMMYFUNCTION("""COMPUTED_VALUE"""),"一年級")</f>
        <v>一年級</v>
      </c>
      <c r="G612" s="9" t="str">
        <f>IFERROR(__xludf.DUMMYFUNCTION("""COMPUTED_VALUE"""),"獎狀")</f>
        <v>獎狀</v>
      </c>
      <c r="H612" s="9"/>
    </row>
    <row r="613">
      <c r="A613" s="13" t="s">
        <v>11</v>
      </c>
      <c r="B613" s="9" t="str">
        <f>IFERROR(__xludf.DUMMYFUNCTION("""COMPUTED_VALUE"""),"張O慈")</f>
        <v>張O慈</v>
      </c>
      <c r="C613" s="9" t="str">
        <f>IFERROR(__xludf.DUMMYFUNCTION("""COMPUTED_VALUE"""),"520*****t.tc.edu.tw")</f>
        <v>520*****t.tc.edu.tw</v>
      </c>
      <c r="D613" s="9" t="str">
        <f>IFERROR(__xludf.DUMMYFUNCTION("""COMPUTED_VALUE"""),"臺中市私立嶺東高級中學")</f>
        <v>臺中市私立嶺東高級中學</v>
      </c>
      <c r="E613" s="9" t="str">
        <f>IFERROR(__xludf.DUMMYFUNCTION("""COMPUTED_VALUE"""),"應英科")</f>
        <v>應英科</v>
      </c>
      <c r="F613" s="9" t="str">
        <f>IFERROR(__xludf.DUMMYFUNCTION("""COMPUTED_VALUE"""),"一年級")</f>
        <v>一年級</v>
      </c>
      <c r="G613" s="9" t="str">
        <f>IFERROR(__xludf.DUMMYFUNCTION("""COMPUTED_VALUE"""),"獎狀")</f>
        <v>獎狀</v>
      </c>
      <c r="H613" s="9"/>
    </row>
    <row r="614">
      <c r="A614" s="13" t="s">
        <v>11</v>
      </c>
      <c r="B614" s="9" t="str">
        <f>IFERROR(__xludf.DUMMYFUNCTION("""COMPUTED_VALUE"""),"王O銓")</f>
        <v>王O銓</v>
      </c>
      <c r="C614" s="9" t="str">
        <f>IFERROR(__xludf.DUMMYFUNCTION("""COMPUTED_VALUE"""),"518*****t.tc.edu.tw")</f>
        <v>518*****t.tc.edu.tw</v>
      </c>
      <c r="D614" s="9" t="str">
        <f>IFERROR(__xludf.DUMMYFUNCTION("""COMPUTED_VALUE"""),"臺中市私立嶺東高級中學")</f>
        <v>臺中市私立嶺東高級中學</v>
      </c>
      <c r="E614" s="9" t="str">
        <f>IFERROR(__xludf.DUMMYFUNCTION("""COMPUTED_VALUE"""),"應英科")</f>
        <v>應英科</v>
      </c>
      <c r="F614" s="9" t="str">
        <f>IFERROR(__xludf.DUMMYFUNCTION("""COMPUTED_VALUE"""),"一年級")</f>
        <v>一年級</v>
      </c>
      <c r="G614" s="9" t="str">
        <f>IFERROR(__xludf.DUMMYFUNCTION("""COMPUTED_VALUE"""),"獎狀")</f>
        <v>獎狀</v>
      </c>
      <c r="H614" s="9"/>
    </row>
    <row r="615">
      <c r="A615" s="13" t="s">
        <v>11</v>
      </c>
      <c r="B615" s="9" t="str">
        <f>IFERROR(__xludf.DUMMYFUNCTION("""COMPUTED_VALUE"""),"謝O慈")</f>
        <v>謝O慈</v>
      </c>
      <c r="C615" s="9" t="str">
        <f>IFERROR(__xludf.DUMMYFUNCTION("""COMPUTED_VALUE"""),"565*****t.tc.edu.tw")</f>
        <v>565*****t.tc.edu.tw</v>
      </c>
      <c r="D615" s="9" t="str">
        <f>IFERROR(__xludf.DUMMYFUNCTION("""COMPUTED_VALUE"""),"臺中市私立嶺東高級中學")</f>
        <v>臺中市私立嶺東高級中學</v>
      </c>
      <c r="E615" s="9" t="str">
        <f>IFERROR(__xludf.DUMMYFUNCTION("""COMPUTED_VALUE"""),"應英科")</f>
        <v>應英科</v>
      </c>
      <c r="F615" s="9" t="str">
        <f>IFERROR(__xludf.DUMMYFUNCTION("""COMPUTED_VALUE"""),"一年級")</f>
        <v>一年級</v>
      </c>
      <c r="G615" s="9" t="str">
        <f>IFERROR(__xludf.DUMMYFUNCTION("""COMPUTED_VALUE"""),"獎狀")</f>
        <v>獎狀</v>
      </c>
      <c r="H615" s="9"/>
    </row>
    <row r="616">
      <c r="A616" s="13" t="s">
        <v>11</v>
      </c>
      <c r="B616" s="9" t="str">
        <f>IFERROR(__xludf.DUMMYFUNCTION("""COMPUTED_VALUE"""),"沈O妤")</f>
        <v>沈O妤</v>
      </c>
      <c r="C616" s="9" t="str">
        <f>IFERROR(__xludf.DUMMYFUNCTION("""COMPUTED_VALUE"""),"111*****st.lths.tc.edu.tw")</f>
        <v>111*****st.lths.tc.edu.tw</v>
      </c>
      <c r="D616" s="9" t="str">
        <f>IFERROR(__xludf.DUMMYFUNCTION("""COMPUTED_VALUE"""),"臺中市私立嶺東高級中學")</f>
        <v>臺中市私立嶺東高級中學</v>
      </c>
      <c r="E616" s="9" t="str">
        <f>IFERROR(__xludf.DUMMYFUNCTION("""COMPUTED_VALUE"""),"應英科")</f>
        <v>應英科</v>
      </c>
      <c r="F616" s="9" t="str">
        <f>IFERROR(__xludf.DUMMYFUNCTION("""COMPUTED_VALUE"""),"一年級")</f>
        <v>一年級</v>
      </c>
      <c r="G616" s="9" t="str">
        <f>IFERROR(__xludf.DUMMYFUNCTION("""COMPUTED_VALUE"""),"○商品卡$500")</f>
        <v>○商品卡$500</v>
      </c>
      <c r="H616" s="9"/>
    </row>
    <row r="617">
      <c r="A617" s="13" t="s">
        <v>11</v>
      </c>
      <c r="B617" s="9" t="str">
        <f>IFERROR(__xludf.DUMMYFUNCTION("""COMPUTED_VALUE"""),"朱O潔")</f>
        <v>朱O潔</v>
      </c>
      <c r="C617" s="9" t="str">
        <f>IFERROR(__xludf.DUMMYFUNCTION("""COMPUTED_VALUE"""),"514*****t.tc.edu.tw")</f>
        <v>514*****t.tc.edu.tw</v>
      </c>
      <c r="D617" s="9" t="str">
        <f>IFERROR(__xludf.DUMMYFUNCTION("""COMPUTED_VALUE"""),"臺中市私立嶺東高級中學")</f>
        <v>臺中市私立嶺東高級中學</v>
      </c>
      <c r="E617" s="9" t="str">
        <f>IFERROR(__xludf.DUMMYFUNCTION("""COMPUTED_VALUE"""),"應英科")</f>
        <v>應英科</v>
      </c>
      <c r="F617" s="9" t="str">
        <f>IFERROR(__xludf.DUMMYFUNCTION("""COMPUTED_VALUE"""),"一年級")</f>
        <v>一年級</v>
      </c>
      <c r="G617" s="9" t="str">
        <f>IFERROR(__xludf.DUMMYFUNCTION("""COMPUTED_VALUE"""),"獎狀")</f>
        <v>獎狀</v>
      </c>
      <c r="H617" s="9"/>
    </row>
    <row r="618">
      <c r="A618" s="13" t="s">
        <v>11</v>
      </c>
      <c r="B618" s="9" t="str">
        <f>IFERROR(__xludf.DUMMYFUNCTION("""COMPUTED_VALUE"""),"廖O琳")</f>
        <v>廖O琳</v>
      </c>
      <c r="C618" s="9" t="str">
        <f>IFERROR(__xludf.DUMMYFUNCTION("""COMPUTED_VALUE"""),"111*****st.lths.tc.edu.tw")</f>
        <v>111*****st.lths.tc.edu.tw</v>
      </c>
      <c r="D618" s="9" t="str">
        <f>IFERROR(__xludf.DUMMYFUNCTION("""COMPUTED_VALUE"""),"臺中市私立嶺東高級中學")</f>
        <v>臺中市私立嶺東高級中學</v>
      </c>
      <c r="E618" s="9" t="str">
        <f>IFERROR(__xludf.DUMMYFUNCTION("""COMPUTED_VALUE"""),"應英科")</f>
        <v>應英科</v>
      </c>
      <c r="F618" s="9" t="str">
        <f>IFERROR(__xludf.DUMMYFUNCTION("""COMPUTED_VALUE"""),"一年級")</f>
        <v>一年級</v>
      </c>
      <c r="G618" s="9" t="str">
        <f>IFERROR(__xludf.DUMMYFUNCTION("""COMPUTED_VALUE"""),"獎狀")</f>
        <v>獎狀</v>
      </c>
      <c r="H618" s="9"/>
    </row>
    <row r="619">
      <c r="A619" s="13" t="s">
        <v>11</v>
      </c>
      <c r="B619" s="9" t="str">
        <f>IFERROR(__xludf.DUMMYFUNCTION("""COMPUTED_VALUE"""),"顏O昕")</f>
        <v>顏O昕</v>
      </c>
      <c r="C619" s="9" t="str">
        <f>IFERROR(__xludf.DUMMYFUNCTION("""COMPUTED_VALUE"""),"501*****t.tc.edu.tw")</f>
        <v>501*****t.tc.edu.tw</v>
      </c>
      <c r="D619" s="9" t="str">
        <f>IFERROR(__xludf.DUMMYFUNCTION("""COMPUTED_VALUE"""),"臺中市私立嶺東高級中學")</f>
        <v>臺中市私立嶺東高級中學</v>
      </c>
      <c r="E619" s="9" t="str">
        <f>IFERROR(__xludf.DUMMYFUNCTION("""COMPUTED_VALUE"""),"應英科")</f>
        <v>應英科</v>
      </c>
      <c r="F619" s="9" t="str">
        <f>IFERROR(__xludf.DUMMYFUNCTION("""COMPUTED_VALUE"""),"一年級")</f>
        <v>一年級</v>
      </c>
      <c r="G619" s="9" t="str">
        <f>IFERROR(__xludf.DUMMYFUNCTION("""COMPUTED_VALUE"""),"○商品卡$500")</f>
        <v>○商品卡$500</v>
      </c>
      <c r="H619" s="9"/>
    </row>
    <row r="620">
      <c r="A620" s="13" t="s">
        <v>11</v>
      </c>
      <c r="B620" s="9" t="str">
        <f>IFERROR(__xludf.DUMMYFUNCTION("""COMPUTED_VALUE"""),"王O蘋")</f>
        <v>王O蘋</v>
      </c>
      <c r="C620" s="9" t="str">
        <f>IFERROR(__xludf.DUMMYFUNCTION("""COMPUTED_VALUE"""),"car*****6332276@gmail.com")</f>
        <v>car*****6332276@gmail.com</v>
      </c>
      <c r="D620" s="9" t="str">
        <f>IFERROR(__xludf.DUMMYFUNCTION("""COMPUTED_VALUE"""),"臺中市私立嶺東高級中學")</f>
        <v>臺中市私立嶺東高級中學</v>
      </c>
      <c r="E620" s="9" t="str">
        <f>IFERROR(__xludf.DUMMYFUNCTION("""COMPUTED_VALUE"""),"應英科")</f>
        <v>應英科</v>
      </c>
      <c r="F620" s="9" t="str">
        <f>IFERROR(__xludf.DUMMYFUNCTION("""COMPUTED_VALUE"""),"一年級")</f>
        <v>一年級</v>
      </c>
      <c r="G620" s="9" t="str">
        <f>IFERROR(__xludf.DUMMYFUNCTION("""COMPUTED_VALUE"""),"獎狀")</f>
        <v>獎狀</v>
      </c>
      <c r="H620" s="9"/>
    </row>
    <row r="621">
      <c r="A621" s="13" t="s">
        <v>11</v>
      </c>
      <c r="B621" s="9" t="str">
        <f>IFERROR(__xludf.DUMMYFUNCTION("""COMPUTED_VALUE"""),"林O妘")</f>
        <v>林O妘</v>
      </c>
      <c r="C621" s="9" t="str">
        <f>IFERROR(__xludf.DUMMYFUNCTION("""COMPUTED_VALUE"""),"sou*****16@gmail.com")</f>
        <v>sou*****16@gmail.com</v>
      </c>
      <c r="D621" s="9" t="str">
        <f>IFERROR(__xludf.DUMMYFUNCTION("""COMPUTED_VALUE"""),"臺中市私立嶺東高級中學")</f>
        <v>臺中市私立嶺東高級中學</v>
      </c>
      <c r="E621" s="9" t="str">
        <f>IFERROR(__xludf.DUMMYFUNCTION("""COMPUTED_VALUE"""),"應英科")</f>
        <v>應英科</v>
      </c>
      <c r="F621" s="9" t="str">
        <f>IFERROR(__xludf.DUMMYFUNCTION("""COMPUTED_VALUE"""),"一年級")</f>
        <v>一年級</v>
      </c>
      <c r="G621" s="9" t="str">
        <f>IFERROR(__xludf.DUMMYFUNCTION("""COMPUTED_VALUE"""),"獎狀")</f>
        <v>獎狀</v>
      </c>
      <c r="H621" s="9"/>
    </row>
    <row r="622">
      <c r="A622" s="13" t="s">
        <v>11</v>
      </c>
      <c r="B622" s="9" t="str">
        <f>IFERROR(__xludf.DUMMYFUNCTION("""COMPUTED_VALUE"""),"蔡O皓")</f>
        <v>蔡O皓</v>
      </c>
      <c r="C622" s="9" t="str">
        <f>IFERROR(__xludf.DUMMYFUNCTION("""COMPUTED_VALUE"""),"jun*****6@gmail.com")</f>
        <v>jun*****6@gmail.com</v>
      </c>
      <c r="D622" s="9" t="str">
        <f>IFERROR(__xludf.DUMMYFUNCTION("""COMPUTED_VALUE"""),"臺中市私立嶺東高級中學")</f>
        <v>臺中市私立嶺東高級中學</v>
      </c>
      <c r="E622" s="9" t="str">
        <f>IFERROR(__xludf.DUMMYFUNCTION("""COMPUTED_VALUE"""),"應英科")</f>
        <v>應英科</v>
      </c>
      <c r="F622" s="9" t="str">
        <f>IFERROR(__xludf.DUMMYFUNCTION("""COMPUTED_VALUE"""),"一年級")</f>
        <v>一年級</v>
      </c>
      <c r="G622" s="9" t="str">
        <f>IFERROR(__xludf.DUMMYFUNCTION("""COMPUTED_VALUE"""),"獎狀")</f>
        <v>獎狀</v>
      </c>
      <c r="H622" s="9"/>
    </row>
    <row r="623">
      <c r="A623" s="13" t="s">
        <v>11</v>
      </c>
      <c r="B623" s="9" t="str">
        <f>IFERROR(__xludf.DUMMYFUNCTION("""COMPUTED_VALUE"""),"徐O潔")</f>
        <v>徐O潔</v>
      </c>
      <c r="C623" s="9" t="str">
        <f>IFERROR(__xludf.DUMMYFUNCTION("""COMPUTED_VALUE"""),"bir*****17@gmail.com")</f>
        <v>bir*****17@gmail.com</v>
      </c>
      <c r="D623" s="9" t="str">
        <f>IFERROR(__xludf.DUMMYFUNCTION("""COMPUTED_VALUE"""),"臺中市私立嶺東高級中學")</f>
        <v>臺中市私立嶺東高級中學</v>
      </c>
      <c r="E623" s="9" t="str">
        <f>IFERROR(__xludf.DUMMYFUNCTION("""COMPUTED_VALUE"""),"應英科")</f>
        <v>應英科</v>
      </c>
      <c r="F623" s="9" t="str">
        <f>IFERROR(__xludf.DUMMYFUNCTION("""COMPUTED_VALUE"""),"一年級")</f>
        <v>一年級</v>
      </c>
      <c r="G623" s="9" t="str">
        <f>IFERROR(__xludf.DUMMYFUNCTION("""COMPUTED_VALUE"""),"獎狀")</f>
        <v>獎狀</v>
      </c>
      <c r="H623" s="9"/>
    </row>
    <row r="624">
      <c r="A624" s="13" t="s">
        <v>11</v>
      </c>
      <c r="B624" s="9" t="str">
        <f>IFERROR(__xludf.DUMMYFUNCTION("""COMPUTED_VALUE"""),"何O真")</f>
        <v>何O真</v>
      </c>
      <c r="C624" s="9" t="str">
        <f>IFERROR(__xludf.DUMMYFUNCTION("""COMPUTED_VALUE"""),"qq2*****87@gmail.com")</f>
        <v>qq2*****87@gmail.com</v>
      </c>
      <c r="D624" s="9" t="str">
        <f>IFERROR(__xludf.DUMMYFUNCTION("""COMPUTED_VALUE"""),"臺中市私立嶺東高級中學")</f>
        <v>臺中市私立嶺東高級中學</v>
      </c>
      <c r="E624" s="9" t="str">
        <f>IFERROR(__xludf.DUMMYFUNCTION("""COMPUTED_VALUE"""),"應英科")</f>
        <v>應英科</v>
      </c>
      <c r="F624" s="9" t="str">
        <f>IFERROR(__xludf.DUMMYFUNCTION("""COMPUTED_VALUE"""),"一年級")</f>
        <v>一年級</v>
      </c>
      <c r="G624" s="9" t="str">
        <f>IFERROR(__xludf.DUMMYFUNCTION("""COMPUTED_VALUE"""),"■商品卡$200")</f>
        <v>■商品卡$200</v>
      </c>
      <c r="H624" s="9"/>
    </row>
    <row r="625">
      <c r="A625" s="13" t="s">
        <v>11</v>
      </c>
      <c r="B625" s="9" t="str">
        <f>IFERROR(__xludf.DUMMYFUNCTION("""COMPUTED_VALUE"""),"林O穎")</f>
        <v>林O穎</v>
      </c>
      <c r="C625" s="9" t="str">
        <f>IFERROR(__xludf.DUMMYFUNCTION("""COMPUTED_VALUE"""),"edi*****1012@gmail.com")</f>
        <v>edi*****1012@gmail.com</v>
      </c>
      <c r="D625" s="9" t="str">
        <f>IFERROR(__xludf.DUMMYFUNCTION("""COMPUTED_VALUE"""),"臺中市私立嶺東高級中學")</f>
        <v>臺中市私立嶺東高級中學</v>
      </c>
      <c r="E625" s="9" t="str">
        <f>IFERROR(__xludf.DUMMYFUNCTION("""COMPUTED_VALUE"""),"應英科")</f>
        <v>應英科</v>
      </c>
      <c r="F625" s="9" t="str">
        <f>IFERROR(__xludf.DUMMYFUNCTION("""COMPUTED_VALUE"""),"一年級")</f>
        <v>一年級</v>
      </c>
      <c r="G625" s="9" t="str">
        <f>IFERROR(__xludf.DUMMYFUNCTION("""COMPUTED_VALUE"""),"○商品卡$500")</f>
        <v>○商品卡$500</v>
      </c>
      <c r="H625" s="9"/>
    </row>
    <row r="626">
      <c r="A626" s="13" t="s">
        <v>11</v>
      </c>
      <c r="B626" s="9" t="str">
        <f>IFERROR(__xludf.DUMMYFUNCTION("""COMPUTED_VALUE"""),"吳O丞")</f>
        <v>吳O丞</v>
      </c>
      <c r="C626" s="9" t="str">
        <f>IFERROR(__xludf.DUMMYFUNCTION("""COMPUTED_VALUE"""),"dis*****y0068@gmail.com")</f>
        <v>dis*****y0068@gmail.com</v>
      </c>
      <c r="D626" s="9" t="str">
        <f>IFERROR(__xludf.DUMMYFUNCTION("""COMPUTED_VALUE"""),"臺中市私立嶺東高級中學")</f>
        <v>臺中市私立嶺東高級中學</v>
      </c>
      <c r="E626" s="9" t="str">
        <f>IFERROR(__xludf.DUMMYFUNCTION("""COMPUTED_VALUE"""),"應英科")</f>
        <v>應英科</v>
      </c>
      <c r="F626" s="9" t="str">
        <f>IFERROR(__xludf.DUMMYFUNCTION("""COMPUTED_VALUE"""),"一年級")</f>
        <v>一年級</v>
      </c>
      <c r="G626" s="9" t="str">
        <f>IFERROR(__xludf.DUMMYFUNCTION("""COMPUTED_VALUE"""),"獎狀")</f>
        <v>獎狀</v>
      </c>
      <c r="H626" s="9"/>
    </row>
    <row r="627">
      <c r="A627" s="13" t="s">
        <v>11</v>
      </c>
      <c r="B627" s="9" t="str">
        <f>IFERROR(__xludf.DUMMYFUNCTION("""COMPUTED_VALUE"""),"王O博")</f>
        <v>王O博</v>
      </c>
      <c r="C627" s="9" t="str">
        <f>IFERROR(__xludf.DUMMYFUNCTION("""COMPUTED_VALUE"""),"wyu*****526@gmail.com")</f>
        <v>wyu*****526@gmail.com</v>
      </c>
      <c r="D627" s="9" t="str">
        <f>IFERROR(__xludf.DUMMYFUNCTION("""COMPUTED_VALUE"""),"臺中市私立嶺東高級中學")</f>
        <v>臺中市私立嶺東高級中學</v>
      </c>
      <c r="E627" s="9" t="str">
        <f>IFERROR(__xludf.DUMMYFUNCTION("""COMPUTED_VALUE"""),"應英科")</f>
        <v>應英科</v>
      </c>
      <c r="F627" s="9" t="str">
        <f>IFERROR(__xludf.DUMMYFUNCTION("""COMPUTED_VALUE"""),"一年級")</f>
        <v>一年級</v>
      </c>
      <c r="G627" s="9" t="str">
        <f>IFERROR(__xludf.DUMMYFUNCTION("""COMPUTED_VALUE"""),"獎狀")</f>
        <v>獎狀</v>
      </c>
      <c r="H627" s="9"/>
    </row>
    <row r="628">
      <c r="A628" s="13" t="s">
        <v>11</v>
      </c>
      <c r="B628" s="9" t="str">
        <f>IFERROR(__xludf.DUMMYFUNCTION("""COMPUTED_VALUE"""),"曹O翰")</f>
        <v>曹O翰</v>
      </c>
      <c r="C628" s="9" t="str">
        <f>IFERROR(__xludf.DUMMYFUNCTION("""COMPUTED_VALUE"""),"ban*****o2009@gmail.com")</f>
        <v>ban*****o2009@gmail.com</v>
      </c>
      <c r="D628" s="9" t="str">
        <f>IFERROR(__xludf.DUMMYFUNCTION("""COMPUTED_VALUE"""),"臺中市私立嶺東高級中學")</f>
        <v>臺中市私立嶺東高級中學</v>
      </c>
      <c r="E628" s="9" t="str">
        <f>IFERROR(__xludf.DUMMYFUNCTION("""COMPUTED_VALUE"""),"應英科")</f>
        <v>應英科</v>
      </c>
      <c r="F628" s="9" t="str">
        <f>IFERROR(__xludf.DUMMYFUNCTION("""COMPUTED_VALUE"""),"一年級")</f>
        <v>一年級</v>
      </c>
      <c r="G628" s="9" t="str">
        <f>IFERROR(__xludf.DUMMYFUNCTION("""COMPUTED_VALUE"""),"獎狀")</f>
        <v>獎狀</v>
      </c>
      <c r="H628" s="9"/>
    </row>
    <row r="629">
      <c r="A629" s="13" t="s">
        <v>11</v>
      </c>
      <c r="B629" s="9" t="str">
        <f>IFERROR(__xludf.DUMMYFUNCTION("""COMPUTED_VALUE"""),"陳O演")</f>
        <v>陳O演</v>
      </c>
      <c r="C629" s="9" t="str">
        <f>IFERROR(__xludf.DUMMYFUNCTION("""COMPUTED_VALUE"""),"ccy*****307@gmail.com")</f>
        <v>ccy*****307@gmail.com</v>
      </c>
      <c r="D629" s="9" t="str">
        <f>IFERROR(__xludf.DUMMYFUNCTION("""COMPUTED_VALUE"""),"臺中市私立嶺東高級中學")</f>
        <v>臺中市私立嶺東高級中學</v>
      </c>
      <c r="E629" s="9" t="str">
        <f>IFERROR(__xludf.DUMMYFUNCTION("""COMPUTED_VALUE"""),"應英科")</f>
        <v>應英科</v>
      </c>
      <c r="F629" s="9" t="str">
        <f>IFERROR(__xludf.DUMMYFUNCTION("""COMPUTED_VALUE"""),"一年級")</f>
        <v>一年級</v>
      </c>
      <c r="G629" s="9" t="str">
        <f>IFERROR(__xludf.DUMMYFUNCTION("""COMPUTED_VALUE"""),"獎狀")</f>
        <v>獎狀</v>
      </c>
      <c r="H629" s="9"/>
    </row>
    <row r="630">
      <c r="A630" s="13" t="s">
        <v>11</v>
      </c>
      <c r="B630" s="9" t="str">
        <f>IFERROR(__xludf.DUMMYFUNCTION("""COMPUTED_VALUE"""),"彭O恆")</f>
        <v>彭O恆</v>
      </c>
      <c r="C630" s="9" t="str">
        <f>IFERROR(__xludf.DUMMYFUNCTION("""COMPUTED_VALUE"""),"kk0*****87@gmail.com")</f>
        <v>kk0*****87@gmail.com</v>
      </c>
      <c r="D630" s="9" t="str">
        <f>IFERROR(__xludf.DUMMYFUNCTION("""COMPUTED_VALUE"""),"臺中市私立嶺東高級中學")</f>
        <v>臺中市私立嶺東高級中學</v>
      </c>
      <c r="E630" s="9" t="str">
        <f>IFERROR(__xludf.DUMMYFUNCTION("""COMPUTED_VALUE"""),"應英科")</f>
        <v>應英科</v>
      </c>
      <c r="F630" s="9" t="str">
        <f>IFERROR(__xludf.DUMMYFUNCTION("""COMPUTED_VALUE"""),"一年級")</f>
        <v>一年級</v>
      </c>
      <c r="G630" s="9" t="str">
        <f>IFERROR(__xludf.DUMMYFUNCTION("""COMPUTED_VALUE"""),"獎狀")</f>
        <v>獎狀</v>
      </c>
      <c r="H630" s="9"/>
    </row>
    <row r="631">
      <c r="A631" s="13" t="s">
        <v>11</v>
      </c>
      <c r="B631" s="9" t="str">
        <f>IFERROR(__xludf.DUMMYFUNCTION("""COMPUTED_VALUE"""),"劉O瑄")</f>
        <v>劉O瑄</v>
      </c>
      <c r="C631" s="9" t="str">
        <f>IFERROR(__xludf.DUMMYFUNCTION("""COMPUTED_VALUE"""),"310*****t.lths.tc.edu.tw")</f>
        <v>310*****t.lths.tc.edu.tw</v>
      </c>
      <c r="D631" s="9" t="str">
        <f>IFERROR(__xludf.DUMMYFUNCTION("""COMPUTED_VALUE"""),"臺中市私立嶺東高級中學")</f>
        <v>臺中市私立嶺東高級中學</v>
      </c>
      <c r="E631" s="9" t="str">
        <f>IFERROR(__xludf.DUMMYFUNCTION("""COMPUTED_VALUE"""),"應英科")</f>
        <v>應英科</v>
      </c>
      <c r="F631" s="9" t="str">
        <f>IFERROR(__xludf.DUMMYFUNCTION("""COMPUTED_VALUE"""),"二年級")</f>
        <v>二年級</v>
      </c>
      <c r="G631" s="9" t="str">
        <f>IFERROR(__xludf.DUMMYFUNCTION("""COMPUTED_VALUE"""),"■商品卡$200")</f>
        <v>■商品卡$200</v>
      </c>
      <c r="H631" s="9"/>
    </row>
    <row r="632">
      <c r="A632" s="13" t="s">
        <v>11</v>
      </c>
      <c r="B632" s="9" t="str">
        <f>IFERROR(__xludf.DUMMYFUNCTION("""COMPUTED_VALUE"""),"陳O丞")</f>
        <v>陳O丞</v>
      </c>
      <c r="C632" s="9" t="str">
        <f>IFERROR(__xludf.DUMMYFUNCTION("""COMPUTED_VALUE"""),"310*****t.lths.tc.edu.tw")</f>
        <v>310*****t.lths.tc.edu.tw</v>
      </c>
      <c r="D632" s="9" t="str">
        <f>IFERROR(__xludf.DUMMYFUNCTION("""COMPUTED_VALUE"""),"臺中市私立嶺東高級中學")</f>
        <v>臺中市私立嶺東高級中學</v>
      </c>
      <c r="E632" s="9" t="str">
        <f>IFERROR(__xludf.DUMMYFUNCTION("""COMPUTED_VALUE"""),"應英科")</f>
        <v>應英科</v>
      </c>
      <c r="F632" s="9" t="str">
        <f>IFERROR(__xludf.DUMMYFUNCTION("""COMPUTED_VALUE"""),"二年級")</f>
        <v>二年級</v>
      </c>
      <c r="G632" s="9" t="str">
        <f>IFERROR(__xludf.DUMMYFUNCTION("""COMPUTED_VALUE"""),"獎狀")</f>
        <v>獎狀</v>
      </c>
      <c r="H632" s="9"/>
    </row>
    <row r="633">
      <c r="A633" s="13" t="s">
        <v>11</v>
      </c>
      <c r="B633" s="9" t="str">
        <f>IFERROR(__xludf.DUMMYFUNCTION("""COMPUTED_VALUE"""),"蔡O賢")</f>
        <v>蔡O賢</v>
      </c>
      <c r="C633" s="9" t="str">
        <f>IFERROR(__xludf.DUMMYFUNCTION("""COMPUTED_VALUE"""),"310*****t.lths.tc.edu.tw")</f>
        <v>310*****t.lths.tc.edu.tw</v>
      </c>
      <c r="D633" s="9" t="str">
        <f>IFERROR(__xludf.DUMMYFUNCTION("""COMPUTED_VALUE"""),"臺中市私立嶺東高級中學")</f>
        <v>臺中市私立嶺東高級中學</v>
      </c>
      <c r="E633" s="9" t="str">
        <f>IFERROR(__xludf.DUMMYFUNCTION("""COMPUTED_VALUE"""),"應英科")</f>
        <v>應英科</v>
      </c>
      <c r="F633" s="9" t="str">
        <f>IFERROR(__xludf.DUMMYFUNCTION("""COMPUTED_VALUE"""),"二年級")</f>
        <v>二年級</v>
      </c>
      <c r="G633" s="9" t="str">
        <f>IFERROR(__xludf.DUMMYFUNCTION("""COMPUTED_VALUE"""),"獎狀")</f>
        <v>獎狀</v>
      </c>
      <c r="H633" s="9"/>
    </row>
    <row r="634">
      <c r="A634" s="13" t="s">
        <v>11</v>
      </c>
      <c r="B634" s="9" t="str">
        <f>IFERROR(__xludf.DUMMYFUNCTION("""COMPUTED_VALUE"""),"陳O睿")</f>
        <v>陳O睿</v>
      </c>
      <c r="C634" s="9" t="str">
        <f>IFERROR(__xludf.DUMMYFUNCTION("""COMPUTED_VALUE"""),"310*****t.lths.tc.edu.tw")</f>
        <v>310*****t.lths.tc.edu.tw</v>
      </c>
      <c r="D634" s="9" t="str">
        <f>IFERROR(__xludf.DUMMYFUNCTION("""COMPUTED_VALUE"""),"臺中市私立嶺東高級中學")</f>
        <v>臺中市私立嶺東高級中學</v>
      </c>
      <c r="E634" s="9" t="str">
        <f>IFERROR(__xludf.DUMMYFUNCTION("""COMPUTED_VALUE"""),"應英科")</f>
        <v>應英科</v>
      </c>
      <c r="F634" s="9" t="str">
        <f>IFERROR(__xludf.DUMMYFUNCTION("""COMPUTED_VALUE"""),"二年級")</f>
        <v>二年級</v>
      </c>
      <c r="G634" s="9" t="str">
        <f>IFERROR(__xludf.DUMMYFUNCTION("""COMPUTED_VALUE"""),"獎狀")</f>
        <v>獎狀</v>
      </c>
      <c r="H634" s="9"/>
    </row>
    <row r="635">
      <c r="A635" s="13" t="s">
        <v>11</v>
      </c>
      <c r="B635" s="9" t="str">
        <f>IFERROR(__xludf.DUMMYFUNCTION("""COMPUTED_VALUE"""),"陳O瑋")</f>
        <v>陳O瑋</v>
      </c>
      <c r="C635" s="9" t="str">
        <f>IFERROR(__xludf.DUMMYFUNCTION("""COMPUTED_VALUE"""),"310*****t.lths.tc.edu.tw")</f>
        <v>310*****t.lths.tc.edu.tw</v>
      </c>
      <c r="D635" s="9" t="str">
        <f>IFERROR(__xludf.DUMMYFUNCTION("""COMPUTED_VALUE"""),"臺中市私立嶺東高級中學")</f>
        <v>臺中市私立嶺東高級中學</v>
      </c>
      <c r="E635" s="9" t="str">
        <f>IFERROR(__xludf.DUMMYFUNCTION("""COMPUTED_VALUE"""),"應英科")</f>
        <v>應英科</v>
      </c>
      <c r="F635" s="9" t="str">
        <f>IFERROR(__xludf.DUMMYFUNCTION("""COMPUTED_VALUE"""),"二年級")</f>
        <v>二年級</v>
      </c>
      <c r="G635" s="9" t="str">
        <f>IFERROR(__xludf.DUMMYFUNCTION("""COMPUTED_VALUE"""),"獎狀")</f>
        <v>獎狀</v>
      </c>
      <c r="H635" s="9"/>
    </row>
    <row r="636">
      <c r="A636" s="13" t="s">
        <v>11</v>
      </c>
      <c r="B636" s="9" t="str">
        <f>IFERROR(__xludf.DUMMYFUNCTION("""COMPUTED_VALUE"""),"袁O晨")</f>
        <v>袁O晨</v>
      </c>
      <c r="C636" s="9" t="str">
        <f>IFERROR(__xludf.DUMMYFUNCTION("""COMPUTED_VALUE"""),"310*****t.lths.tc.edu.tw")</f>
        <v>310*****t.lths.tc.edu.tw</v>
      </c>
      <c r="D636" s="9" t="str">
        <f>IFERROR(__xludf.DUMMYFUNCTION("""COMPUTED_VALUE"""),"臺中市私立嶺東高級中學")</f>
        <v>臺中市私立嶺東高級中學</v>
      </c>
      <c r="E636" s="9" t="str">
        <f>IFERROR(__xludf.DUMMYFUNCTION("""COMPUTED_VALUE"""),"應英科")</f>
        <v>應英科</v>
      </c>
      <c r="F636" s="9" t="str">
        <f>IFERROR(__xludf.DUMMYFUNCTION("""COMPUTED_VALUE"""),"二年級")</f>
        <v>二年級</v>
      </c>
      <c r="G636" s="9" t="str">
        <f>IFERROR(__xludf.DUMMYFUNCTION("""COMPUTED_VALUE"""),"獎狀")</f>
        <v>獎狀</v>
      </c>
      <c r="H636" s="9"/>
    </row>
    <row r="637">
      <c r="A637" s="13" t="s">
        <v>11</v>
      </c>
      <c r="B637" s="9" t="str">
        <f>IFERROR(__xludf.DUMMYFUNCTION("""COMPUTED_VALUE"""),"蔡O錞")</f>
        <v>蔡O錞</v>
      </c>
      <c r="C637" s="9" t="str">
        <f>IFERROR(__xludf.DUMMYFUNCTION("""COMPUTED_VALUE"""),"310*****t.lths.tc.edu.tw")</f>
        <v>310*****t.lths.tc.edu.tw</v>
      </c>
      <c r="D637" s="9" t="str">
        <f>IFERROR(__xludf.DUMMYFUNCTION("""COMPUTED_VALUE"""),"臺中市私立嶺東高級中學")</f>
        <v>臺中市私立嶺東高級中學</v>
      </c>
      <c r="E637" s="9" t="str">
        <f>IFERROR(__xludf.DUMMYFUNCTION("""COMPUTED_VALUE"""),"應英科")</f>
        <v>應英科</v>
      </c>
      <c r="F637" s="9" t="str">
        <f>IFERROR(__xludf.DUMMYFUNCTION("""COMPUTED_VALUE"""),"二年級")</f>
        <v>二年級</v>
      </c>
      <c r="G637" s="9" t="str">
        <f>IFERROR(__xludf.DUMMYFUNCTION("""COMPUTED_VALUE"""),"獎狀")</f>
        <v>獎狀</v>
      </c>
      <c r="H637" s="9"/>
    </row>
    <row r="638">
      <c r="A638" s="13" t="s">
        <v>11</v>
      </c>
      <c r="B638" s="9" t="str">
        <f>IFERROR(__xludf.DUMMYFUNCTION("""COMPUTED_VALUE"""),"陳O澤")</f>
        <v>陳O澤</v>
      </c>
      <c r="C638" s="9" t="str">
        <f>IFERROR(__xludf.DUMMYFUNCTION("""COMPUTED_VALUE"""),"310*****t.lths.tc.edu.tw")</f>
        <v>310*****t.lths.tc.edu.tw</v>
      </c>
      <c r="D638" s="9" t="str">
        <f>IFERROR(__xludf.DUMMYFUNCTION("""COMPUTED_VALUE"""),"臺中市私立嶺東高級中學")</f>
        <v>臺中市私立嶺東高級中學</v>
      </c>
      <c r="E638" s="9" t="str">
        <f>IFERROR(__xludf.DUMMYFUNCTION("""COMPUTED_VALUE"""),"應英科")</f>
        <v>應英科</v>
      </c>
      <c r="F638" s="9" t="str">
        <f>IFERROR(__xludf.DUMMYFUNCTION("""COMPUTED_VALUE"""),"二年級")</f>
        <v>二年級</v>
      </c>
      <c r="G638" s="9" t="str">
        <f>IFERROR(__xludf.DUMMYFUNCTION("""COMPUTED_VALUE"""),"獎狀")</f>
        <v>獎狀</v>
      </c>
      <c r="H638" s="9"/>
    </row>
    <row r="639">
      <c r="A639" s="13" t="s">
        <v>11</v>
      </c>
      <c r="B639" s="9" t="str">
        <f>IFERROR(__xludf.DUMMYFUNCTION("""COMPUTED_VALUE"""),"蔡O翰")</f>
        <v>蔡O翰</v>
      </c>
      <c r="C639" s="9" t="str">
        <f>IFERROR(__xludf.DUMMYFUNCTION("""COMPUTED_VALUE"""),"310*****t.lths.tc.edu.tw")</f>
        <v>310*****t.lths.tc.edu.tw</v>
      </c>
      <c r="D639" s="9" t="str">
        <f>IFERROR(__xludf.DUMMYFUNCTION("""COMPUTED_VALUE"""),"臺中市私立嶺東高級中學")</f>
        <v>臺中市私立嶺東高級中學</v>
      </c>
      <c r="E639" s="9" t="str">
        <f>IFERROR(__xludf.DUMMYFUNCTION("""COMPUTED_VALUE"""),"應英科")</f>
        <v>應英科</v>
      </c>
      <c r="F639" s="9" t="str">
        <f>IFERROR(__xludf.DUMMYFUNCTION("""COMPUTED_VALUE"""),"二年級")</f>
        <v>二年級</v>
      </c>
      <c r="G639" s="9" t="str">
        <f>IFERROR(__xludf.DUMMYFUNCTION("""COMPUTED_VALUE"""),"獎狀")</f>
        <v>獎狀</v>
      </c>
      <c r="H639" s="9"/>
    </row>
    <row r="640">
      <c r="A640" s="13" t="s">
        <v>11</v>
      </c>
      <c r="B640" s="9" t="str">
        <f>IFERROR(__xludf.DUMMYFUNCTION("""COMPUTED_VALUE"""),"陳O穎")</f>
        <v>陳O穎</v>
      </c>
      <c r="C640" s="9" t="str">
        <f>IFERROR(__xludf.DUMMYFUNCTION("""COMPUTED_VALUE"""),"310*****t.lths.tc.edu.tw")</f>
        <v>310*****t.lths.tc.edu.tw</v>
      </c>
      <c r="D640" s="9" t="str">
        <f>IFERROR(__xludf.DUMMYFUNCTION("""COMPUTED_VALUE"""),"臺中市私立嶺東高級中學")</f>
        <v>臺中市私立嶺東高級中學</v>
      </c>
      <c r="E640" s="9" t="str">
        <f>IFERROR(__xludf.DUMMYFUNCTION("""COMPUTED_VALUE"""),"應英科")</f>
        <v>應英科</v>
      </c>
      <c r="F640" s="9" t="str">
        <f>IFERROR(__xludf.DUMMYFUNCTION("""COMPUTED_VALUE"""),"二年級")</f>
        <v>二年級</v>
      </c>
      <c r="G640" s="9" t="str">
        <f>IFERROR(__xludf.DUMMYFUNCTION("""COMPUTED_VALUE"""),"■商品卡$200")</f>
        <v>■商品卡$200</v>
      </c>
      <c r="H640" s="9"/>
    </row>
    <row r="641">
      <c r="A641" s="13" t="s">
        <v>11</v>
      </c>
      <c r="B641" s="9" t="str">
        <f>IFERROR(__xludf.DUMMYFUNCTION("""COMPUTED_VALUE"""),"吳O奇")</f>
        <v>吳O奇</v>
      </c>
      <c r="C641" s="9" t="str">
        <f>IFERROR(__xludf.DUMMYFUNCTION("""COMPUTED_VALUE"""),"310*****t.lths.tc.edu.tw")</f>
        <v>310*****t.lths.tc.edu.tw</v>
      </c>
      <c r="D641" s="9" t="str">
        <f>IFERROR(__xludf.DUMMYFUNCTION("""COMPUTED_VALUE"""),"臺中市私立嶺東高級中學")</f>
        <v>臺中市私立嶺東高級中學</v>
      </c>
      <c r="E641" s="9" t="str">
        <f>IFERROR(__xludf.DUMMYFUNCTION("""COMPUTED_VALUE"""),"應英科")</f>
        <v>應英科</v>
      </c>
      <c r="F641" s="9" t="str">
        <f>IFERROR(__xludf.DUMMYFUNCTION("""COMPUTED_VALUE"""),"二年級")</f>
        <v>二年級</v>
      </c>
      <c r="G641" s="9" t="str">
        <f>IFERROR(__xludf.DUMMYFUNCTION("""COMPUTED_VALUE"""),"獎狀")</f>
        <v>獎狀</v>
      </c>
      <c r="H641" s="9"/>
    </row>
    <row r="642">
      <c r="A642" s="13" t="s">
        <v>11</v>
      </c>
      <c r="B642" s="9" t="str">
        <f>IFERROR(__xludf.DUMMYFUNCTION("""COMPUTED_VALUE"""),"林O佑")</f>
        <v>林O佑</v>
      </c>
      <c r="C642" s="9" t="str">
        <f>IFERROR(__xludf.DUMMYFUNCTION("""COMPUTED_VALUE"""),"310*****t.lths.tc.edu.tw")</f>
        <v>310*****t.lths.tc.edu.tw</v>
      </c>
      <c r="D642" s="9" t="str">
        <f>IFERROR(__xludf.DUMMYFUNCTION("""COMPUTED_VALUE"""),"臺中市私立嶺東高級中學")</f>
        <v>臺中市私立嶺東高級中學</v>
      </c>
      <c r="E642" s="9" t="str">
        <f>IFERROR(__xludf.DUMMYFUNCTION("""COMPUTED_VALUE"""),"應英科")</f>
        <v>應英科</v>
      </c>
      <c r="F642" s="9" t="str">
        <f>IFERROR(__xludf.DUMMYFUNCTION("""COMPUTED_VALUE"""),"二年級")</f>
        <v>二年級</v>
      </c>
      <c r="G642" s="9" t="str">
        <f>IFERROR(__xludf.DUMMYFUNCTION("""COMPUTED_VALUE"""),"■商品卡$200")</f>
        <v>■商品卡$200</v>
      </c>
      <c r="H642" s="9"/>
    </row>
    <row r="643">
      <c r="A643" s="13" t="s">
        <v>11</v>
      </c>
      <c r="B643" s="9" t="str">
        <f>IFERROR(__xludf.DUMMYFUNCTION("""COMPUTED_VALUE"""),"吳O諼")</f>
        <v>吳O諼</v>
      </c>
      <c r="C643" s="9" t="str">
        <f>IFERROR(__xludf.DUMMYFUNCTION("""COMPUTED_VALUE"""),"310*****t.lths.tc.edu.tw")</f>
        <v>310*****t.lths.tc.edu.tw</v>
      </c>
      <c r="D643" s="9" t="str">
        <f>IFERROR(__xludf.DUMMYFUNCTION("""COMPUTED_VALUE"""),"臺中市私立嶺東高級中學")</f>
        <v>臺中市私立嶺東高級中學</v>
      </c>
      <c r="E643" s="9" t="str">
        <f>IFERROR(__xludf.DUMMYFUNCTION("""COMPUTED_VALUE"""),"應英科")</f>
        <v>應英科</v>
      </c>
      <c r="F643" s="9" t="str">
        <f>IFERROR(__xludf.DUMMYFUNCTION("""COMPUTED_VALUE"""),"二年級")</f>
        <v>二年級</v>
      </c>
      <c r="G643" s="9" t="str">
        <f>IFERROR(__xludf.DUMMYFUNCTION("""COMPUTED_VALUE"""),"★商品卡$1000")</f>
        <v>★商品卡$1000</v>
      </c>
      <c r="H643" s="9"/>
    </row>
    <row r="644">
      <c r="A644" s="13" t="s">
        <v>11</v>
      </c>
      <c r="B644" s="9" t="str">
        <f>IFERROR(__xludf.DUMMYFUNCTION("""COMPUTED_VALUE"""),"林O毅")</f>
        <v>林O毅</v>
      </c>
      <c r="C644" s="9" t="str">
        <f>IFERROR(__xludf.DUMMYFUNCTION("""COMPUTED_VALUE"""),"310*****t.lths.tc.edu.tw")</f>
        <v>310*****t.lths.tc.edu.tw</v>
      </c>
      <c r="D644" s="9" t="str">
        <f>IFERROR(__xludf.DUMMYFUNCTION("""COMPUTED_VALUE"""),"臺中市私立嶺東高級中學")</f>
        <v>臺中市私立嶺東高級中學</v>
      </c>
      <c r="E644" s="9" t="str">
        <f>IFERROR(__xludf.DUMMYFUNCTION("""COMPUTED_VALUE"""),"應英科")</f>
        <v>應英科</v>
      </c>
      <c r="F644" s="9" t="str">
        <f>IFERROR(__xludf.DUMMYFUNCTION("""COMPUTED_VALUE"""),"二年級")</f>
        <v>二年級</v>
      </c>
      <c r="G644" s="9" t="str">
        <f>IFERROR(__xludf.DUMMYFUNCTION("""COMPUTED_VALUE"""),"獎狀")</f>
        <v>獎狀</v>
      </c>
      <c r="H644" s="9"/>
    </row>
    <row r="645">
      <c r="A645" s="13" t="s">
        <v>11</v>
      </c>
      <c r="B645" s="9" t="str">
        <f>IFERROR(__xludf.DUMMYFUNCTION("""COMPUTED_VALUE"""),"王O竣")</f>
        <v>王O竣</v>
      </c>
      <c r="C645" s="9" t="str">
        <f>IFERROR(__xludf.DUMMYFUNCTION("""COMPUTED_VALUE"""),"310*****t.lths.tc.edu.tw")</f>
        <v>310*****t.lths.tc.edu.tw</v>
      </c>
      <c r="D645" s="9" t="str">
        <f>IFERROR(__xludf.DUMMYFUNCTION("""COMPUTED_VALUE"""),"臺中市私立嶺東高級中學")</f>
        <v>臺中市私立嶺東高級中學</v>
      </c>
      <c r="E645" s="9" t="str">
        <f>IFERROR(__xludf.DUMMYFUNCTION("""COMPUTED_VALUE"""),"應英科")</f>
        <v>應英科</v>
      </c>
      <c r="F645" s="9" t="str">
        <f>IFERROR(__xludf.DUMMYFUNCTION("""COMPUTED_VALUE"""),"二年級")</f>
        <v>二年級</v>
      </c>
      <c r="G645" s="9" t="str">
        <f>IFERROR(__xludf.DUMMYFUNCTION("""COMPUTED_VALUE"""),"★商品卡$1000")</f>
        <v>★商品卡$1000</v>
      </c>
      <c r="H645" s="9"/>
    </row>
    <row r="646">
      <c r="A646" s="13" t="s">
        <v>11</v>
      </c>
      <c r="B646" s="9" t="str">
        <f>IFERROR(__xludf.DUMMYFUNCTION("""COMPUTED_VALUE"""),"陳O瑜")</f>
        <v>陳O瑜</v>
      </c>
      <c r="C646" s="9" t="str">
        <f>IFERROR(__xludf.DUMMYFUNCTION("""COMPUTED_VALUE"""),"310*****t.lths.tc.edu.tw")</f>
        <v>310*****t.lths.tc.edu.tw</v>
      </c>
      <c r="D646" s="9" t="str">
        <f>IFERROR(__xludf.DUMMYFUNCTION("""COMPUTED_VALUE"""),"臺中市私立嶺東高級中學")</f>
        <v>臺中市私立嶺東高級中學</v>
      </c>
      <c r="E646" s="9" t="str">
        <f>IFERROR(__xludf.DUMMYFUNCTION("""COMPUTED_VALUE"""),"應英科")</f>
        <v>應英科</v>
      </c>
      <c r="F646" s="9" t="str">
        <f>IFERROR(__xludf.DUMMYFUNCTION("""COMPUTED_VALUE"""),"二年級")</f>
        <v>二年級</v>
      </c>
      <c r="G646" s="9" t="str">
        <f>IFERROR(__xludf.DUMMYFUNCTION("""COMPUTED_VALUE"""),"獎狀")</f>
        <v>獎狀</v>
      </c>
      <c r="H646" s="9"/>
    </row>
    <row r="647">
      <c r="A647" s="13" t="s">
        <v>11</v>
      </c>
      <c r="B647" s="9" t="str">
        <f>IFERROR(__xludf.DUMMYFUNCTION("""COMPUTED_VALUE"""),"藍O芸")</f>
        <v>藍O芸</v>
      </c>
      <c r="C647" s="9" t="str">
        <f>IFERROR(__xludf.DUMMYFUNCTION("""COMPUTED_VALUE"""),"310*****t.lths.tc.edu.tw")</f>
        <v>310*****t.lths.tc.edu.tw</v>
      </c>
      <c r="D647" s="9" t="str">
        <f>IFERROR(__xludf.DUMMYFUNCTION("""COMPUTED_VALUE"""),"臺中市私立嶺東高級中學")</f>
        <v>臺中市私立嶺東高級中學</v>
      </c>
      <c r="E647" s="9" t="str">
        <f>IFERROR(__xludf.DUMMYFUNCTION("""COMPUTED_VALUE"""),"應英科")</f>
        <v>應英科</v>
      </c>
      <c r="F647" s="9" t="str">
        <f>IFERROR(__xludf.DUMMYFUNCTION("""COMPUTED_VALUE"""),"二年級")</f>
        <v>二年級</v>
      </c>
      <c r="G647" s="9" t="str">
        <f>IFERROR(__xludf.DUMMYFUNCTION("""COMPUTED_VALUE"""),"獎狀")</f>
        <v>獎狀</v>
      </c>
      <c r="H647" s="9"/>
    </row>
    <row r="648">
      <c r="A648" s="13" t="s">
        <v>11</v>
      </c>
      <c r="B648" s="9" t="str">
        <f>IFERROR(__xludf.DUMMYFUNCTION("""COMPUTED_VALUE"""),"呂O卉")</f>
        <v>呂O卉</v>
      </c>
      <c r="C648" s="9" t="str">
        <f>IFERROR(__xludf.DUMMYFUNCTION("""COMPUTED_VALUE"""),"310*****t.lths.tc.edu.tw")</f>
        <v>310*****t.lths.tc.edu.tw</v>
      </c>
      <c r="D648" s="9" t="str">
        <f>IFERROR(__xludf.DUMMYFUNCTION("""COMPUTED_VALUE"""),"臺中市私立嶺東高級中學")</f>
        <v>臺中市私立嶺東高級中學</v>
      </c>
      <c r="E648" s="9" t="str">
        <f>IFERROR(__xludf.DUMMYFUNCTION("""COMPUTED_VALUE"""),"應英科")</f>
        <v>應英科</v>
      </c>
      <c r="F648" s="9" t="str">
        <f>IFERROR(__xludf.DUMMYFUNCTION("""COMPUTED_VALUE"""),"二年級")</f>
        <v>二年級</v>
      </c>
      <c r="G648" s="9" t="str">
        <f>IFERROR(__xludf.DUMMYFUNCTION("""COMPUTED_VALUE"""),"獎狀")</f>
        <v>獎狀</v>
      </c>
      <c r="H648" s="9"/>
    </row>
    <row r="649">
      <c r="A649" s="13" t="s">
        <v>11</v>
      </c>
      <c r="B649" s="9" t="str">
        <f>IFERROR(__xludf.DUMMYFUNCTION("""COMPUTED_VALUE"""),"陳O安")</f>
        <v>陳O安</v>
      </c>
      <c r="C649" s="9" t="str">
        <f>IFERROR(__xludf.DUMMYFUNCTION("""COMPUTED_VALUE"""),"310*****t.lths.tc.edu.tw")</f>
        <v>310*****t.lths.tc.edu.tw</v>
      </c>
      <c r="D649" s="9" t="str">
        <f>IFERROR(__xludf.DUMMYFUNCTION("""COMPUTED_VALUE"""),"臺中市私立嶺東高級中學")</f>
        <v>臺中市私立嶺東高級中學</v>
      </c>
      <c r="E649" s="9" t="str">
        <f>IFERROR(__xludf.DUMMYFUNCTION("""COMPUTED_VALUE"""),"應英科")</f>
        <v>應英科</v>
      </c>
      <c r="F649" s="9" t="str">
        <f>IFERROR(__xludf.DUMMYFUNCTION("""COMPUTED_VALUE"""),"二年級")</f>
        <v>二年級</v>
      </c>
      <c r="G649" s="9" t="str">
        <f>IFERROR(__xludf.DUMMYFUNCTION("""COMPUTED_VALUE"""),"獎狀")</f>
        <v>獎狀</v>
      </c>
      <c r="H649" s="9"/>
    </row>
    <row r="650">
      <c r="A650" s="13" t="s">
        <v>11</v>
      </c>
      <c r="B650" s="9" t="str">
        <f>IFERROR(__xludf.DUMMYFUNCTION("""COMPUTED_VALUE"""),"鄭O瑄")</f>
        <v>鄭O瑄</v>
      </c>
      <c r="C650" s="9" t="str">
        <f>IFERROR(__xludf.DUMMYFUNCTION("""COMPUTED_VALUE"""),"310*****t.lths.tc.edu.tw")</f>
        <v>310*****t.lths.tc.edu.tw</v>
      </c>
      <c r="D650" s="9" t="str">
        <f>IFERROR(__xludf.DUMMYFUNCTION("""COMPUTED_VALUE"""),"臺中市私立嶺東高級中學")</f>
        <v>臺中市私立嶺東高級中學</v>
      </c>
      <c r="E650" s="9" t="str">
        <f>IFERROR(__xludf.DUMMYFUNCTION("""COMPUTED_VALUE"""),"應英科")</f>
        <v>應英科</v>
      </c>
      <c r="F650" s="9" t="str">
        <f>IFERROR(__xludf.DUMMYFUNCTION("""COMPUTED_VALUE"""),"二年級")</f>
        <v>二年級</v>
      </c>
      <c r="G650" s="9" t="str">
        <f>IFERROR(__xludf.DUMMYFUNCTION("""COMPUTED_VALUE"""),"獎狀")</f>
        <v>獎狀</v>
      </c>
      <c r="H650" s="9"/>
    </row>
    <row r="651">
      <c r="A651" s="13" t="s">
        <v>11</v>
      </c>
      <c r="B651" s="9" t="str">
        <f>IFERROR(__xludf.DUMMYFUNCTION("""COMPUTED_VALUE"""),"李O蓁")</f>
        <v>李O蓁</v>
      </c>
      <c r="C651" s="9" t="str">
        <f>IFERROR(__xludf.DUMMYFUNCTION("""COMPUTED_VALUE"""),"210*****t.lths.tc.edu.tw")</f>
        <v>210*****t.lths.tc.edu.tw</v>
      </c>
      <c r="D651" s="9" t="str">
        <f>IFERROR(__xludf.DUMMYFUNCTION("""COMPUTED_VALUE"""),"臺中市私立嶺東高級中學")</f>
        <v>臺中市私立嶺東高級中學</v>
      </c>
      <c r="E651" s="9" t="str">
        <f>IFERROR(__xludf.DUMMYFUNCTION("""COMPUTED_VALUE"""),"應英科")</f>
        <v>應英科</v>
      </c>
      <c r="F651" s="9" t="str">
        <f>IFERROR(__xludf.DUMMYFUNCTION("""COMPUTED_VALUE"""),"三年級")</f>
        <v>三年級</v>
      </c>
      <c r="G651" s="9" t="str">
        <f>IFERROR(__xludf.DUMMYFUNCTION("""COMPUTED_VALUE"""),"獎狀")</f>
        <v>獎狀</v>
      </c>
      <c r="H651" s="9"/>
    </row>
    <row r="652">
      <c r="A652" s="13" t="s">
        <v>11</v>
      </c>
      <c r="B652" s="9" t="str">
        <f>IFERROR(__xludf.DUMMYFUNCTION("""COMPUTED_VALUE"""),"郭O畯")</f>
        <v>郭O畯</v>
      </c>
      <c r="C652" s="9" t="str">
        <f>IFERROR(__xludf.DUMMYFUNCTION("""COMPUTED_VALUE"""),"210*****t.lths.tc.edu.tw")</f>
        <v>210*****t.lths.tc.edu.tw</v>
      </c>
      <c r="D652" s="9" t="str">
        <f>IFERROR(__xludf.DUMMYFUNCTION("""COMPUTED_VALUE"""),"臺中市私立嶺東高級中學")</f>
        <v>臺中市私立嶺東高級中學</v>
      </c>
      <c r="E652" s="9" t="str">
        <f>IFERROR(__xludf.DUMMYFUNCTION("""COMPUTED_VALUE"""),"應英科")</f>
        <v>應英科</v>
      </c>
      <c r="F652" s="9" t="str">
        <f>IFERROR(__xludf.DUMMYFUNCTION("""COMPUTED_VALUE"""),"三年級")</f>
        <v>三年級</v>
      </c>
      <c r="G652" s="9" t="str">
        <f>IFERROR(__xludf.DUMMYFUNCTION("""COMPUTED_VALUE"""),"獎狀")</f>
        <v>獎狀</v>
      </c>
      <c r="H652" s="9"/>
    </row>
    <row r="653">
      <c r="A653" s="13" t="s">
        <v>11</v>
      </c>
      <c r="B653" s="9" t="str">
        <f>IFERROR(__xludf.DUMMYFUNCTION("""COMPUTED_VALUE"""),"林O慈")</f>
        <v>林O慈</v>
      </c>
      <c r="C653" s="9" t="str">
        <f>IFERROR(__xludf.DUMMYFUNCTION("""COMPUTED_VALUE"""),"210*****t.lths.tc.edu.tw")</f>
        <v>210*****t.lths.tc.edu.tw</v>
      </c>
      <c r="D653" s="9" t="str">
        <f>IFERROR(__xludf.DUMMYFUNCTION("""COMPUTED_VALUE"""),"臺中市私立嶺東高級中學")</f>
        <v>臺中市私立嶺東高級中學</v>
      </c>
      <c r="E653" s="9" t="str">
        <f>IFERROR(__xludf.DUMMYFUNCTION("""COMPUTED_VALUE"""),"應英科")</f>
        <v>應英科</v>
      </c>
      <c r="F653" s="9" t="str">
        <f>IFERROR(__xludf.DUMMYFUNCTION("""COMPUTED_VALUE"""),"三年級")</f>
        <v>三年級</v>
      </c>
      <c r="G653" s="9" t="str">
        <f>IFERROR(__xludf.DUMMYFUNCTION("""COMPUTED_VALUE"""),"獎狀")</f>
        <v>獎狀</v>
      </c>
      <c r="H653" s="9"/>
    </row>
    <row r="654">
      <c r="A654" s="13" t="s">
        <v>11</v>
      </c>
      <c r="B654" s="9" t="str">
        <f>IFERROR(__xludf.DUMMYFUNCTION("""COMPUTED_VALUE"""),"王O鈞")</f>
        <v>王O鈞</v>
      </c>
      <c r="C654" s="9" t="str">
        <f>IFERROR(__xludf.DUMMYFUNCTION("""COMPUTED_VALUE"""),"210*****t.lths.tc.edu.tw")</f>
        <v>210*****t.lths.tc.edu.tw</v>
      </c>
      <c r="D654" s="9" t="str">
        <f>IFERROR(__xludf.DUMMYFUNCTION("""COMPUTED_VALUE"""),"臺中市私立嶺東高級中學")</f>
        <v>臺中市私立嶺東高級中學</v>
      </c>
      <c r="E654" s="9" t="str">
        <f>IFERROR(__xludf.DUMMYFUNCTION("""COMPUTED_VALUE"""),"應英科")</f>
        <v>應英科</v>
      </c>
      <c r="F654" s="9" t="str">
        <f>IFERROR(__xludf.DUMMYFUNCTION("""COMPUTED_VALUE"""),"三年級")</f>
        <v>三年級</v>
      </c>
      <c r="G654" s="9" t="str">
        <f>IFERROR(__xludf.DUMMYFUNCTION("""COMPUTED_VALUE"""),"獎狀")</f>
        <v>獎狀</v>
      </c>
      <c r="H654" s="9"/>
    </row>
    <row r="655">
      <c r="A655" s="13" t="s">
        <v>11</v>
      </c>
      <c r="B655" s="9" t="str">
        <f>IFERROR(__xludf.DUMMYFUNCTION("""COMPUTED_VALUE"""),"江O恩")</f>
        <v>江O恩</v>
      </c>
      <c r="C655" s="9" t="str">
        <f>IFERROR(__xludf.DUMMYFUNCTION("""COMPUTED_VALUE"""),"210*****t.lths.tc.edu.tw")</f>
        <v>210*****t.lths.tc.edu.tw</v>
      </c>
      <c r="D655" s="9" t="str">
        <f>IFERROR(__xludf.DUMMYFUNCTION("""COMPUTED_VALUE"""),"臺中市私立嶺東高級中學")</f>
        <v>臺中市私立嶺東高級中學</v>
      </c>
      <c r="E655" s="9" t="str">
        <f>IFERROR(__xludf.DUMMYFUNCTION("""COMPUTED_VALUE"""),"應英科")</f>
        <v>應英科</v>
      </c>
      <c r="F655" s="9" t="str">
        <f>IFERROR(__xludf.DUMMYFUNCTION("""COMPUTED_VALUE"""),"三年級")</f>
        <v>三年級</v>
      </c>
      <c r="G655" s="9" t="str">
        <f>IFERROR(__xludf.DUMMYFUNCTION("""COMPUTED_VALUE"""),"獎狀")</f>
        <v>獎狀</v>
      </c>
      <c r="H655" s="9"/>
    </row>
    <row r="656">
      <c r="A656" s="13" t="s">
        <v>11</v>
      </c>
      <c r="B656" s="9" t="str">
        <f>IFERROR(__xludf.DUMMYFUNCTION("""COMPUTED_VALUE"""),"陳O洋")</f>
        <v>陳O洋</v>
      </c>
      <c r="C656" s="9" t="str">
        <f>IFERROR(__xludf.DUMMYFUNCTION("""COMPUTED_VALUE"""),"210*****t.lths.tc.edu.tw")</f>
        <v>210*****t.lths.tc.edu.tw</v>
      </c>
      <c r="D656" s="9" t="str">
        <f>IFERROR(__xludf.DUMMYFUNCTION("""COMPUTED_VALUE"""),"臺中市私立嶺東高級中學")</f>
        <v>臺中市私立嶺東高級中學</v>
      </c>
      <c r="E656" s="9" t="str">
        <f>IFERROR(__xludf.DUMMYFUNCTION("""COMPUTED_VALUE"""),"應英科")</f>
        <v>應英科</v>
      </c>
      <c r="F656" s="9" t="str">
        <f>IFERROR(__xludf.DUMMYFUNCTION("""COMPUTED_VALUE"""),"三年級")</f>
        <v>三年級</v>
      </c>
      <c r="G656" s="9" t="str">
        <f>IFERROR(__xludf.DUMMYFUNCTION("""COMPUTED_VALUE"""),"■商品卡$200")</f>
        <v>■商品卡$200</v>
      </c>
      <c r="H656" s="9"/>
    </row>
    <row r="657">
      <c r="A657" s="13" t="s">
        <v>11</v>
      </c>
      <c r="B657" s="9" t="str">
        <f>IFERROR(__xludf.DUMMYFUNCTION("""COMPUTED_VALUE"""),"陳O潔")</f>
        <v>陳O潔</v>
      </c>
      <c r="C657" s="9" t="str">
        <f>IFERROR(__xludf.DUMMYFUNCTION("""COMPUTED_VALUE"""),"210*****t.lths.tc.edu.tw")</f>
        <v>210*****t.lths.tc.edu.tw</v>
      </c>
      <c r="D657" s="9" t="str">
        <f>IFERROR(__xludf.DUMMYFUNCTION("""COMPUTED_VALUE"""),"臺中市私立嶺東高級中學")</f>
        <v>臺中市私立嶺東高級中學</v>
      </c>
      <c r="E657" s="9" t="str">
        <f>IFERROR(__xludf.DUMMYFUNCTION("""COMPUTED_VALUE"""),"應英科")</f>
        <v>應英科</v>
      </c>
      <c r="F657" s="9" t="str">
        <f>IFERROR(__xludf.DUMMYFUNCTION("""COMPUTED_VALUE"""),"三年級")</f>
        <v>三年級</v>
      </c>
      <c r="G657" s="9" t="str">
        <f>IFERROR(__xludf.DUMMYFUNCTION("""COMPUTED_VALUE"""),"獎狀")</f>
        <v>獎狀</v>
      </c>
      <c r="H657" s="9"/>
    </row>
    <row r="658">
      <c r="A658" s="13" t="s">
        <v>11</v>
      </c>
      <c r="B658" s="9" t="str">
        <f>IFERROR(__xludf.DUMMYFUNCTION("""COMPUTED_VALUE"""),"嚴O羚")</f>
        <v>嚴O羚</v>
      </c>
      <c r="C658" s="9" t="str">
        <f>IFERROR(__xludf.DUMMYFUNCTION("""COMPUTED_VALUE"""),"210*****t.lths.tc.edu.tw")</f>
        <v>210*****t.lths.tc.edu.tw</v>
      </c>
      <c r="D658" s="9" t="str">
        <f>IFERROR(__xludf.DUMMYFUNCTION("""COMPUTED_VALUE"""),"臺中市私立嶺東高級中學")</f>
        <v>臺中市私立嶺東高級中學</v>
      </c>
      <c r="E658" s="9" t="str">
        <f>IFERROR(__xludf.DUMMYFUNCTION("""COMPUTED_VALUE"""),"應英科")</f>
        <v>應英科</v>
      </c>
      <c r="F658" s="9" t="str">
        <f>IFERROR(__xludf.DUMMYFUNCTION("""COMPUTED_VALUE"""),"三年級")</f>
        <v>三年級</v>
      </c>
      <c r="G658" s="9" t="str">
        <f>IFERROR(__xludf.DUMMYFUNCTION("""COMPUTED_VALUE"""),"獎狀")</f>
        <v>獎狀</v>
      </c>
      <c r="H658" s="9"/>
    </row>
    <row r="659">
      <c r="A659" s="13" t="s">
        <v>11</v>
      </c>
      <c r="B659" s="9" t="str">
        <f>IFERROR(__xludf.DUMMYFUNCTION("""COMPUTED_VALUE"""),"李O穎")</f>
        <v>李O穎</v>
      </c>
      <c r="C659" s="9" t="str">
        <f>IFERROR(__xludf.DUMMYFUNCTION("""COMPUTED_VALUE"""),"210*****t.lths.tc.edu.tw")</f>
        <v>210*****t.lths.tc.edu.tw</v>
      </c>
      <c r="D659" s="9" t="str">
        <f>IFERROR(__xludf.DUMMYFUNCTION("""COMPUTED_VALUE"""),"臺中市私立嶺東高級中學")</f>
        <v>臺中市私立嶺東高級中學</v>
      </c>
      <c r="E659" s="9" t="str">
        <f>IFERROR(__xludf.DUMMYFUNCTION("""COMPUTED_VALUE"""),"應英科")</f>
        <v>應英科</v>
      </c>
      <c r="F659" s="9" t="str">
        <f>IFERROR(__xludf.DUMMYFUNCTION("""COMPUTED_VALUE"""),"三年級")</f>
        <v>三年級</v>
      </c>
      <c r="G659" s="9" t="str">
        <f>IFERROR(__xludf.DUMMYFUNCTION("""COMPUTED_VALUE"""),"獎狀")</f>
        <v>獎狀</v>
      </c>
      <c r="H659" s="9"/>
    </row>
    <row r="660">
      <c r="A660" s="13" t="s">
        <v>11</v>
      </c>
      <c r="B660" s="9" t="str">
        <f>IFERROR(__xludf.DUMMYFUNCTION("""COMPUTED_VALUE"""),"沈O賢")</f>
        <v>沈O賢</v>
      </c>
      <c r="C660" s="9" t="str">
        <f>IFERROR(__xludf.DUMMYFUNCTION("""COMPUTED_VALUE"""),"210*****t.lths.tc.edu.tw")</f>
        <v>210*****t.lths.tc.edu.tw</v>
      </c>
      <c r="D660" s="9" t="str">
        <f>IFERROR(__xludf.DUMMYFUNCTION("""COMPUTED_VALUE"""),"臺中市私立嶺東高級中學")</f>
        <v>臺中市私立嶺東高級中學</v>
      </c>
      <c r="E660" s="9" t="str">
        <f>IFERROR(__xludf.DUMMYFUNCTION("""COMPUTED_VALUE"""),"應英科")</f>
        <v>應英科</v>
      </c>
      <c r="F660" s="9" t="str">
        <f>IFERROR(__xludf.DUMMYFUNCTION("""COMPUTED_VALUE"""),"三年級")</f>
        <v>三年級</v>
      </c>
      <c r="G660" s="9" t="str">
        <f>IFERROR(__xludf.DUMMYFUNCTION("""COMPUTED_VALUE"""),"獎狀")</f>
        <v>獎狀</v>
      </c>
      <c r="H660" s="9"/>
    </row>
    <row r="661">
      <c r="A661" s="13" t="s">
        <v>11</v>
      </c>
      <c r="B661" s="9" t="str">
        <f>IFERROR(__xludf.DUMMYFUNCTION("""COMPUTED_VALUE"""),"陳O霏")</f>
        <v>陳O霏</v>
      </c>
      <c r="C661" s="9" t="str">
        <f>IFERROR(__xludf.DUMMYFUNCTION("""COMPUTED_VALUE"""),"210*****t.lths.tc.edu.tw")</f>
        <v>210*****t.lths.tc.edu.tw</v>
      </c>
      <c r="D661" s="9" t="str">
        <f>IFERROR(__xludf.DUMMYFUNCTION("""COMPUTED_VALUE"""),"臺中市私立嶺東高級中學")</f>
        <v>臺中市私立嶺東高級中學</v>
      </c>
      <c r="E661" s="9" t="str">
        <f>IFERROR(__xludf.DUMMYFUNCTION("""COMPUTED_VALUE"""),"應英科")</f>
        <v>應英科</v>
      </c>
      <c r="F661" s="9" t="str">
        <f>IFERROR(__xludf.DUMMYFUNCTION("""COMPUTED_VALUE"""),"三年級")</f>
        <v>三年級</v>
      </c>
      <c r="G661" s="9" t="str">
        <f>IFERROR(__xludf.DUMMYFUNCTION("""COMPUTED_VALUE"""),"獎狀")</f>
        <v>獎狀</v>
      </c>
      <c r="H661" s="9"/>
    </row>
    <row r="662">
      <c r="A662" s="13" t="s">
        <v>11</v>
      </c>
      <c r="B662" s="9" t="str">
        <f>IFERROR(__xludf.DUMMYFUNCTION("""COMPUTED_VALUE"""),"張O玟")</f>
        <v>張O玟</v>
      </c>
      <c r="C662" s="9" t="str">
        <f>IFERROR(__xludf.DUMMYFUNCTION("""COMPUTED_VALUE"""),"210*****t.lths.tc.edu.tw")</f>
        <v>210*****t.lths.tc.edu.tw</v>
      </c>
      <c r="D662" s="9" t="str">
        <f>IFERROR(__xludf.DUMMYFUNCTION("""COMPUTED_VALUE"""),"臺中市私立嶺東高級中學")</f>
        <v>臺中市私立嶺東高級中學</v>
      </c>
      <c r="E662" s="9" t="str">
        <f>IFERROR(__xludf.DUMMYFUNCTION("""COMPUTED_VALUE"""),"應英科")</f>
        <v>應英科</v>
      </c>
      <c r="F662" s="9" t="str">
        <f>IFERROR(__xludf.DUMMYFUNCTION("""COMPUTED_VALUE"""),"三年級")</f>
        <v>三年級</v>
      </c>
      <c r="G662" s="9" t="str">
        <f>IFERROR(__xludf.DUMMYFUNCTION("""COMPUTED_VALUE"""),"獎狀")</f>
        <v>獎狀</v>
      </c>
      <c r="H662" s="9"/>
    </row>
    <row r="663">
      <c r="A663" s="13" t="s">
        <v>11</v>
      </c>
      <c r="B663" s="9" t="str">
        <f>IFERROR(__xludf.DUMMYFUNCTION("""COMPUTED_VALUE"""),"蔡O妤")</f>
        <v>蔡O妤</v>
      </c>
      <c r="C663" s="9" t="str">
        <f>IFERROR(__xludf.DUMMYFUNCTION("""COMPUTED_VALUE"""),"210*****t.lths.tc.edu.tw")</f>
        <v>210*****t.lths.tc.edu.tw</v>
      </c>
      <c r="D663" s="9" t="str">
        <f>IFERROR(__xludf.DUMMYFUNCTION("""COMPUTED_VALUE"""),"臺中市私立嶺東高級中學")</f>
        <v>臺中市私立嶺東高級中學</v>
      </c>
      <c r="E663" s="9" t="str">
        <f>IFERROR(__xludf.DUMMYFUNCTION("""COMPUTED_VALUE"""),"應英科")</f>
        <v>應英科</v>
      </c>
      <c r="F663" s="9" t="str">
        <f>IFERROR(__xludf.DUMMYFUNCTION("""COMPUTED_VALUE"""),"三年級")</f>
        <v>三年級</v>
      </c>
      <c r="G663" s="9" t="str">
        <f>IFERROR(__xludf.DUMMYFUNCTION("""COMPUTED_VALUE"""),"獎狀")</f>
        <v>獎狀</v>
      </c>
      <c r="H663" s="9"/>
    </row>
    <row r="664">
      <c r="A664" s="13" t="s">
        <v>11</v>
      </c>
      <c r="B664" s="9" t="str">
        <f>IFERROR(__xludf.DUMMYFUNCTION("""COMPUTED_VALUE"""),"黃O紹")</f>
        <v>黃O紹</v>
      </c>
      <c r="C664" s="9" t="str">
        <f>IFERROR(__xludf.DUMMYFUNCTION("""COMPUTED_VALUE"""),"210*****t.lths.tc.edu.tw")</f>
        <v>210*****t.lths.tc.edu.tw</v>
      </c>
      <c r="D664" s="9" t="str">
        <f>IFERROR(__xludf.DUMMYFUNCTION("""COMPUTED_VALUE"""),"臺中市私立嶺東高級中學")</f>
        <v>臺中市私立嶺東高級中學</v>
      </c>
      <c r="E664" s="9" t="str">
        <f>IFERROR(__xludf.DUMMYFUNCTION("""COMPUTED_VALUE"""),"應英科")</f>
        <v>應英科</v>
      </c>
      <c r="F664" s="9" t="str">
        <f>IFERROR(__xludf.DUMMYFUNCTION("""COMPUTED_VALUE"""),"三年級")</f>
        <v>三年級</v>
      </c>
      <c r="G664" s="9" t="str">
        <f>IFERROR(__xludf.DUMMYFUNCTION("""COMPUTED_VALUE"""),"獎狀")</f>
        <v>獎狀</v>
      </c>
      <c r="H664" s="9"/>
    </row>
    <row r="665">
      <c r="A665" s="13" t="s">
        <v>11</v>
      </c>
      <c r="B665" s="9" t="str">
        <f>IFERROR(__xludf.DUMMYFUNCTION("""COMPUTED_VALUE"""),"吳O嘉")</f>
        <v>吳O嘉</v>
      </c>
      <c r="C665" s="9" t="str">
        <f>IFERROR(__xludf.DUMMYFUNCTION("""COMPUTED_VALUE"""),"210*****t.lths.tc.edu.tw")</f>
        <v>210*****t.lths.tc.edu.tw</v>
      </c>
      <c r="D665" s="9" t="str">
        <f>IFERROR(__xludf.DUMMYFUNCTION("""COMPUTED_VALUE"""),"臺中市私立嶺東高級中學")</f>
        <v>臺中市私立嶺東高級中學</v>
      </c>
      <c r="E665" s="9" t="str">
        <f>IFERROR(__xludf.DUMMYFUNCTION("""COMPUTED_VALUE"""),"應英科")</f>
        <v>應英科</v>
      </c>
      <c r="F665" s="9" t="str">
        <f>IFERROR(__xludf.DUMMYFUNCTION("""COMPUTED_VALUE"""),"三年級")</f>
        <v>三年級</v>
      </c>
      <c r="G665" s="9" t="str">
        <f>IFERROR(__xludf.DUMMYFUNCTION("""COMPUTED_VALUE"""),"獎狀")</f>
        <v>獎狀</v>
      </c>
      <c r="H665" s="9"/>
    </row>
    <row r="666">
      <c r="A666" s="13" t="s">
        <v>11</v>
      </c>
      <c r="B666" s="9" t="str">
        <f>IFERROR(__xludf.DUMMYFUNCTION("""COMPUTED_VALUE"""),"陳O宜")</f>
        <v>陳O宜</v>
      </c>
      <c r="C666" s="9" t="str">
        <f>IFERROR(__xludf.DUMMYFUNCTION("""COMPUTED_VALUE"""),"210*****t.lths.tc.edu.tw")</f>
        <v>210*****t.lths.tc.edu.tw</v>
      </c>
      <c r="D666" s="9" t="str">
        <f>IFERROR(__xludf.DUMMYFUNCTION("""COMPUTED_VALUE"""),"臺中市私立嶺東高級中學")</f>
        <v>臺中市私立嶺東高級中學</v>
      </c>
      <c r="E666" s="9" t="str">
        <f>IFERROR(__xludf.DUMMYFUNCTION("""COMPUTED_VALUE"""),"應英科")</f>
        <v>應英科</v>
      </c>
      <c r="F666" s="9" t="str">
        <f>IFERROR(__xludf.DUMMYFUNCTION("""COMPUTED_VALUE"""),"三年級")</f>
        <v>三年級</v>
      </c>
      <c r="G666" s="9" t="str">
        <f>IFERROR(__xludf.DUMMYFUNCTION("""COMPUTED_VALUE"""),"獎狀")</f>
        <v>獎狀</v>
      </c>
      <c r="H666" s="9"/>
    </row>
    <row r="667">
      <c r="A667" s="13" t="s">
        <v>11</v>
      </c>
      <c r="B667" s="9" t="str">
        <f>IFERROR(__xludf.DUMMYFUNCTION("""COMPUTED_VALUE"""),"王O涵")</f>
        <v>王O涵</v>
      </c>
      <c r="C667" s="9" t="str">
        <f>IFERROR(__xludf.DUMMYFUNCTION("""COMPUTED_VALUE"""),"210*****t.lths.tc.edu.tw")</f>
        <v>210*****t.lths.tc.edu.tw</v>
      </c>
      <c r="D667" s="9" t="str">
        <f>IFERROR(__xludf.DUMMYFUNCTION("""COMPUTED_VALUE"""),"臺中市私立嶺東高級中學")</f>
        <v>臺中市私立嶺東高級中學</v>
      </c>
      <c r="E667" s="9" t="str">
        <f>IFERROR(__xludf.DUMMYFUNCTION("""COMPUTED_VALUE"""),"應英科")</f>
        <v>應英科</v>
      </c>
      <c r="F667" s="9" t="str">
        <f>IFERROR(__xludf.DUMMYFUNCTION("""COMPUTED_VALUE"""),"三年級")</f>
        <v>三年級</v>
      </c>
      <c r="G667" s="9" t="str">
        <f>IFERROR(__xludf.DUMMYFUNCTION("""COMPUTED_VALUE"""),"獎狀")</f>
        <v>獎狀</v>
      </c>
      <c r="H667" s="9"/>
    </row>
    <row r="668">
      <c r="A668" s="13" t="s">
        <v>11</v>
      </c>
      <c r="B668" s="9" t="str">
        <f>IFERROR(__xludf.DUMMYFUNCTION("""COMPUTED_VALUE"""),"林O芸")</f>
        <v>林O芸</v>
      </c>
      <c r="C668" s="9" t="str">
        <f>IFERROR(__xludf.DUMMYFUNCTION("""COMPUTED_VALUE"""),"210*****t.lths.tc.edu.tw")</f>
        <v>210*****t.lths.tc.edu.tw</v>
      </c>
      <c r="D668" s="9" t="str">
        <f>IFERROR(__xludf.DUMMYFUNCTION("""COMPUTED_VALUE"""),"臺中市私立嶺東高級中學")</f>
        <v>臺中市私立嶺東高級中學</v>
      </c>
      <c r="E668" s="9" t="str">
        <f>IFERROR(__xludf.DUMMYFUNCTION("""COMPUTED_VALUE"""),"應英科")</f>
        <v>應英科</v>
      </c>
      <c r="F668" s="9" t="str">
        <f>IFERROR(__xludf.DUMMYFUNCTION("""COMPUTED_VALUE"""),"三年級")</f>
        <v>三年級</v>
      </c>
      <c r="G668" s="9" t="str">
        <f>IFERROR(__xludf.DUMMYFUNCTION("""COMPUTED_VALUE"""),"獎狀")</f>
        <v>獎狀</v>
      </c>
      <c r="H668" s="9"/>
    </row>
    <row r="669">
      <c r="A669" s="13" t="s">
        <v>11</v>
      </c>
      <c r="B669" s="9" t="str">
        <f>IFERROR(__xludf.DUMMYFUNCTION("""COMPUTED_VALUE"""),"廖O婷")</f>
        <v>廖O婷</v>
      </c>
      <c r="C669" s="9" t="str">
        <f>IFERROR(__xludf.DUMMYFUNCTION("""COMPUTED_VALUE"""),"210*****t.lths.tc.edu.tw")</f>
        <v>210*****t.lths.tc.edu.tw</v>
      </c>
      <c r="D669" s="9" t="str">
        <f>IFERROR(__xludf.DUMMYFUNCTION("""COMPUTED_VALUE"""),"臺中市私立嶺東高級中學")</f>
        <v>臺中市私立嶺東高級中學</v>
      </c>
      <c r="E669" s="9" t="str">
        <f>IFERROR(__xludf.DUMMYFUNCTION("""COMPUTED_VALUE"""),"應英科")</f>
        <v>應英科</v>
      </c>
      <c r="F669" s="9" t="str">
        <f>IFERROR(__xludf.DUMMYFUNCTION("""COMPUTED_VALUE"""),"三年級")</f>
        <v>三年級</v>
      </c>
      <c r="G669" s="9" t="str">
        <f>IFERROR(__xludf.DUMMYFUNCTION("""COMPUTED_VALUE"""),"獎狀")</f>
        <v>獎狀</v>
      </c>
      <c r="H669" s="9"/>
    </row>
    <row r="670">
      <c r="A670" s="13" t="s">
        <v>11</v>
      </c>
      <c r="B670" s="9" t="str">
        <f>IFERROR(__xludf.DUMMYFUNCTION("""COMPUTED_VALUE"""),"鄭O諺")</f>
        <v>鄭O諺</v>
      </c>
      <c r="C670" s="9" t="str">
        <f>IFERROR(__xludf.DUMMYFUNCTION("""COMPUTED_VALUE"""),"310*****t.lths.tc.edu.tw")</f>
        <v>310*****t.lths.tc.edu.tw</v>
      </c>
      <c r="D670" s="9" t="str">
        <f>IFERROR(__xludf.DUMMYFUNCTION("""COMPUTED_VALUE"""),"臺中市私立嶺東高級中學")</f>
        <v>臺中市私立嶺東高級中學</v>
      </c>
      <c r="E670" s="9" t="str">
        <f>IFERROR(__xludf.DUMMYFUNCTION("""COMPUTED_VALUE"""),"應應科")</f>
        <v>應應科</v>
      </c>
      <c r="F670" s="9" t="str">
        <f>IFERROR(__xludf.DUMMYFUNCTION("""COMPUTED_VALUE"""),"二年級")</f>
        <v>二年級</v>
      </c>
      <c r="G670" s="9" t="str">
        <f>IFERROR(__xludf.DUMMYFUNCTION("""COMPUTED_VALUE"""),"獎狀")</f>
        <v>獎狀</v>
      </c>
      <c r="H670" s="9"/>
    </row>
    <row r="671">
      <c r="A671" s="13" t="s">
        <v>11</v>
      </c>
      <c r="B671" s="9" t="str">
        <f>IFERROR(__xludf.DUMMYFUNCTION("""COMPUTED_VALUE"""),"王O鈞")</f>
        <v>王O鈞</v>
      </c>
      <c r="C671" s="9" t="str">
        <f>IFERROR(__xludf.DUMMYFUNCTION("""COMPUTED_VALUE"""),"ss1*****002@khvs.tc.edu.tw")</f>
        <v>ss1*****002@khvs.tc.edu.tw</v>
      </c>
      <c r="D671" s="9" t="str">
        <f>IFERROR(__xludf.DUMMYFUNCTION("""COMPUTED_VALUE"""),"光華學校財團法人臺中市光華高級工業職業學校")</f>
        <v>光華學校財團法人臺中市光華高級工業職業學校</v>
      </c>
      <c r="E671" s="9" t="str">
        <f>IFERROR(__xludf.DUMMYFUNCTION("""COMPUTED_VALUE"""),"消防工程科")</f>
        <v>消防工程科</v>
      </c>
      <c r="F671" s="9" t="str">
        <f>IFERROR(__xludf.DUMMYFUNCTION("""COMPUTED_VALUE"""),"二年級")</f>
        <v>二年級</v>
      </c>
      <c r="G671" s="9" t="str">
        <f>IFERROR(__xludf.DUMMYFUNCTION("""COMPUTED_VALUE"""),"獎狀")</f>
        <v>獎狀</v>
      </c>
      <c r="H671" s="9"/>
    </row>
    <row r="672">
      <c r="A672" s="13" t="s">
        <v>11</v>
      </c>
      <c r="B672" s="9" t="str">
        <f>IFERROR(__xludf.DUMMYFUNCTION("""COMPUTED_VALUE"""),"歐O賢")</f>
        <v>歐O賢</v>
      </c>
      <c r="C672" s="9" t="str">
        <f>IFERROR(__xludf.DUMMYFUNCTION("""COMPUTED_VALUE"""),"ss1*****016@khvs.tc.edu.tw")</f>
        <v>ss1*****016@khvs.tc.edu.tw</v>
      </c>
      <c r="D672" s="9" t="str">
        <f>IFERROR(__xludf.DUMMYFUNCTION("""COMPUTED_VALUE"""),"光華學校財團法人臺中市光華高級工業職業學校")</f>
        <v>光華學校財團法人臺中市光華高級工業職業學校</v>
      </c>
      <c r="E672" s="9" t="str">
        <f>IFERROR(__xludf.DUMMYFUNCTION("""COMPUTED_VALUE"""),"消防工程科")</f>
        <v>消防工程科</v>
      </c>
      <c r="F672" s="9" t="str">
        <f>IFERROR(__xludf.DUMMYFUNCTION("""COMPUTED_VALUE"""),"三年級")</f>
        <v>三年級</v>
      </c>
      <c r="G672" s="9" t="str">
        <f>IFERROR(__xludf.DUMMYFUNCTION("""COMPUTED_VALUE"""),"獎狀")</f>
        <v>獎狀</v>
      </c>
      <c r="H672" s="9"/>
    </row>
    <row r="673">
      <c r="A673" s="13" t="s">
        <v>11</v>
      </c>
      <c r="B673" s="9" t="str">
        <f>IFERROR(__xludf.DUMMYFUNCTION("""COMPUTED_VALUE"""),"郭O椓")</f>
        <v>郭O椓</v>
      </c>
      <c r="C673" s="9" t="str">
        <f>IFERROR(__xludf.DUMMYFUNCTION("""COMPUTED_VALUE"""),"ss1*****009@khvs.tc.edu.tw")</f>
        <v>ss1*****009@khvs.tc.edu.tw</v>
      </c>
      <c r="D673" s="9" t="str">
        <f>IFERROR(__xludf.DUMMYFUNCTION("""COMPUTED_VALUE"""),"光華學校財團法人臺中市光華高級工業職業學校")</f>
        <v>光華學校財團法人臺中市光華高級工業職業學校</v>
      </c>
      <c r="E673" s="9" t="str">
        <f>IFERROR(__xludf.DUMMYFUNCTION("""COMPUTED_VALUE"""),"消防工程科")</f>
        <v>消防工程科</v>
      </c>
      <c r="F673" s="9" t="str">
        <f>IFERROR(__xludf.DUMMYFUNCTION("""COMPUTED_VALUE"""),"三年級")</f>
        <v>三年級</v>
      </c>
      <c r="G673" s="9" t="str">
        <f>IFERROR(__xludf.DUMMYFUNCTION("""COMPUTED_VALUE"""),"★商品卡$1000")</f>
        <v>★商品卡$1000</v>
      </c>
      <c r="H673" s="9"/>
    </row>
    <row r="674">
      <c r="A674" s="13" t="s">
        <v>11</v>
      </c>
      <c r="B674" s="9" t="str">
        <f>IFERROR(__xludf.DUMMYFUNCTION("""COMPUTED_VALUE"""),"何O穎")</f>
        <v>何O穎</v>
      </c>
      <c r="C674" s="9" t="str">
        <f>IFERROR(__xludf.DUMMYFUNCTION("""COMPUTED_VALUE"""),"ss1*****014@khvs.tc.edu.tw")</f>
        <v>ss1*****014@khvs.tc.edu.tw</v>
      </c>
      <c r="D674" s="9" t="str">
        <f>IFERROR(__xludf.DUMMYFUNCTION("""COMPUTED_VALUE"""),"光華學校財團法人臺中市光華高級工業職業學校")</f>
        <v>光華學校財團法人臺中市光華高級工業職業學校</v>
      </c>
      <c r="E674" s="9" t="str">
        <f>IFERROR(__xludf.DUMMYFUNCTION("""COMPUTED_VALUE"""),"電機")</f>
        <v>電機</v>
      </c>
      <c r="F674" s="9" t="str">
        <f>IFERROR(__xludf.DUMMYFUNCTION("""COMPUTED_VALUE"""),"三年級")</f>
        <v>三年級</v>
      </c>
      <c r="G674" s="9" t="str">
        <f>IFERROR(__xludf.DUMMYFUNCTION("""COMPUTED_VALUE"""),"獎狀")</f>
        <v>獎狀</v>
      </c>
      <c r="H674" s="9"/>
    </row>
    <row r="675">
      <c r="A675" s="13" t="s">
        <v>11</v>
      </c>
      <c r="B675" s="9" t="str">
        <f>IFERROR(__xludf.DUMMYFUNCTION("""COMPUTED_VALUE"""),"劉O宏")</f>
        <v>劉O宏</v>
      </c>
      <c r="C675" s="9" t="str">
        <f>IFERROR(__xludf.DUMMYFUNCTION("""COMPUTED_VALUE"""),"ss1*****010@khvs.tc.edu.tw")</f>
        <v>ss1*****010@khvs.tc.edu.tw</v>
      </c>
      <c r="D675" s="9" t="str">
        <f>IFERROR(__xludf.DUMMYFUNCTION("""COMPUTED_VALUE"""),"光華學校財團法人臺中市光華高級工業職業學校")</f>
        <v>光華學校財團法人臺中市光華高級工業職業學校</v>
      </c>
      <c r="E675" s="9" t="str">
        <f>IFERROR(__xludf.DUMMYFUNCTION("""COMPUTED_VALUE"""),"電機")</f>
        <v>電機</v>
      </c>
      <c r="F675" s="9" t="str">
        <f>IFERROR(__xludf.DUMMYFUNCTION("""COMPUTED_VALUE"""),"三年級")</f>
        <v>三年級</v>
      </c>
      <c r="G675" s="9" t="str">
        <f>IFERROR(__xludf.DUMMYFUNCTION("""COMPUTED_VALUE"""),"獎狀")</f>
        <v>獎狀</v>
      </c>
      <c r="H675" s="9"/>
    </row>
    <row r="676">
      <c r="A676" s="13" t="s">
        <v>11</v>
      </c>
      <c r="B676" s="9" t="str">
        <f>IFERROR(__xludf.DUMMYFUNCTION("""COMPUTED_VALUE"""),"廖O喆")</f>
        <v>廖O喆</v>
      </c>
      <c r="C676" s="9" t="str">
        <f>IFERROR(__xludf.DUMMYFUNCTION("""COMPUTED_VALUE"""),"ss1*****009@khvs.tc.edu.tw")</f>
        <v>ss1*****009@khvs.tc.edu.tw</v>
      </c>
      <c r="D676" s="9" t="str">
        <f>IFERROR(__xludf.DUMMYFUNCTION("""COMPUTED_VALUE"""),"光華學校財團法人臺中市光華高級工業職業學校")</f>
        <v>光華學校財團法人臺中市光華高級工業職業學校</v>
      </c>
      <c r="E676" s="9" t="str">
        <f>IFERROR(__xludf.DUMMYFUNCTION("""COMPUTED_VALUE"""),"電機科")</f>
        <v>電機科</v>
      </c>
      <c r="F676" s="9" t="str">
        <f>IFERROR(__xludf.DUMMYFUNCTION("""COMPUTED_VALUE"""),"一年級")</f>
        <v>一年級</v>
      </c>
      <c r="G676" s="9" t="str">
        <f>IFERROR(__xludf.DUMMYFUNCTION("""COMPUTED_VALUE"""),"獎狀")</f>
        <v>獎狀</v>
      </c>
      <c r="H676" s="9"/>
    </row>
    <row r="677">
      <c r="A677" s="13" t="s">
        <v>11</v>
      </c>
      <c r="B677" s="9" t="str">
        <f>IFERROR(__xludf.DUMMYFUNCTION("""COMPUTED_VALUE"""),"廖O程")</f>
        <v>廖O程</v>
      </c>
      <c r="C677" s="9" t="str">
        <f>IFERROR(__xludf.DUMMYFUNCTION("""COMPUTED_VALUE"""),"ss1*****009@khvs.tc.edu.tw")</f>
        <v>ss1*****009@khvs.tc.edu.tw</v>
      </c>
      <c r="D677" s="9" t="str">
        <f>IFERROR(__xludf.DUMMYFUNCTION("""COMPUTED_VALUE"""),"光華學校財團法人臺中市光華高級工業職業學校")</f>
        <v>光華學校財團法人臺中市光華高級工業職業學校</v>
      </c>
      <c r="E677" s="9" t="str">
        <f>IFERROR(__xludf.DUMMYFUNCTION("""COMPUTED_VALUE"""),"電機科")</f>
        <v>電機科</v>
      </c>
      <c r="F677" s="9" t="str">
        <f>IFERROR(__xludf.DUMMYFUNCTION("""COMPUTED_VALUE"""),"三年級")</f>
        <v>三年級</v>
      </c>
      <c r="G677" s="9" t="str">
        <f>IFERROR(__xludf.DUMMYFUNCTION("""COMPUTED_VALUE"""),"■商品卡$200")</f>
        <v>■商品卡$200</v>
      </c>
      <c r="H677" s="9"/>
    </row>
    <row r="678">
      <c r="A678" s="13" t="s">
        <v>11</v>
      </c>
      <c r="B678" s="9" t="str">
        <f>IFERROR(__xludf.DUMMYFUNCTION("""COMPUTED_VALUE"""),"林O諺")</f>
        <v>林O諺</v>
      </c>
      <c r="C678" s="9" t="str">
        <f>IFERROR(__xludf.DUMMYFUNCTION("""COMPUTED_VALUE"""),"ss1*****004@khvs.tc.edu.tw")</f>
        <v>ss1*****004@khvs.tc.edu.tw</v>
      </c>
      <c r="D678" s="9" t="str">
        <f>IFERROR(__xludf.DUMMYFUNCTION("""COMPUTED_VALUE"""),"光華學校財團法人臺中市光華高級工業職業學校")</f>
        <v>光華學校財團法人臺中市光華高級工業職業學校</v>
      </c>
      <c r="E678" s="9" t="str">
        <f>IFERROR(__xludf.DUMMYFUNCTION("""COMPUTED_VALUE"""),"電機科")</f>
        <v>電機科</v>
      </c>
      <c r="F678" s="9" t="str">
        <f>IFERROR(__xludf.DUMMYFUNCTION("""COMPUTED_VALUE"""),"三年級")</f>
        <v>三年級</v>
      </c>
      <c r="G678" s="9" t="str">
        <f>IFERROR(__xludf.DUMMYFUNCTION("""COMPUTED_VALUE"""),"獎狀")</f>
        <v>獎狀</v>
      </c>
      <c r="H678" s="9"/>
    </row>
    <row r="679">
      <c r="A679" s="13" t="s">
        <v>11</v>
      </c>
      <c r="B679" s="9" t="str">
        <f>IFERROR(__xludf.DUMMYFUNCTION("""COMPUTED_VALUE"""),"賴O諺")</f>
        <v>賴O諺</v>
      </c>
      <c r="C679" s="9" t="str">
        <f>IFERROR(__xludf.DUMMYFUNCTION("""COMPUTED_VALUE"""),"ss1*****015@khvs.tc.edu.tw")</f>
        <v>ss1*****015@khvs.tc.edu.tw</v>
      </c>
      <c r="D679" s="9" t="str">
        <f>IFERROR(__xludf.DUMMYFUNCTION("""COMPUTED_VALUE"""),"光華學校財團法人臺中市光華高級工業職業學校")</f>
        <v>光華學校財團法人臺中市光華高級工業職業學校</v>
      </c>
      <c r="E679" s="9" t="str">
        <f>IFERROR(__xludf.DUMMYFUNCTION("""COMPUTED_VALUE"""),"電機科")</f>
        <v>電機科</v>
      </c>
      <c r="F679" s="9" t="str">
        <f>IFERROR(__xludf.DUMMYFUNCTION("""COMPUTED_VALUE"""),"三年級")</f>
        <v>三年級</v>
      </c>
      <c r="G679" s="9" t="str">
        <f>IFERROR(__xludf.DUMMYFUNCTION("""COMPUTED_VALUE"""),"獎狀")</f>
        <v>獎狀</v>
      </c>
      <c r="H679" s="9"/>
    </row>
    <row r="680">
      <c r="A680" s="13" t="s">
        <v>11</v>
      </c>
      <c r="B680" s="9" t="str">
        <f>IFERROR(__xludf.DUMMYFUNCTION("""COMPUTED_VALUE"""),"甘O昱")</f>
        <v>甘O昱</v>
      </c>
      <c r="C680" s="9" t="str">
        <f>IFERROR(__xludf.DUMMYFUNCTION("""COMPUTED_VALUE"""),"ss1*****001@khvs.tc.edu.tw")</f>
        <v>ss1*****001@khvs.tc.edu.tw</v>
      </c>
      <c r="D680" s="9" t="str">
        <f>IFERROR(__xludf.DUMMYFUNCTION("""COMPUTED_VALUE"""),"光華學校財團法人臺中市光華高級工業職業學校")</f>
        <v>光華學校財團法人臺中市光華高級工業職業學校</v>
      </c>
      <c r="E680" s="9" t="str">
        <f>IFERROR(__xludf.DUMMYFUNCTION("""COMPUTED_VALUE"""),"電機科")</f>
        <v>電機科</v>
      </c>
      <c r="F680" s="9" t="str">
        <f>IFERROR(__xludf.DUMMYFUNCTION("""COMPUTED_VALUE"""),"三年級")</f>
        <v>三年級</v>
      </c>
      <c r="G680" s="9" t="str">
        <f>IFERROR(__xludf.DUMMYFUNCTION("""COMPUTED_VALUE"""),"獎狀")</f>
        <v>獎狀</v>
      </c>
      <c r="H680" s="9"/>
    </row>
    <row r="681">
      <c r="A681" s="13" t="s">
        <v>11</v>
      </c>
      <c r="B681" s="9" t="str">
        <f>IFERROR(__xludf.DUMMYFUNCTION("""COMPUTED_VALUE"""),"劉O伯")</f>
        <v>劉O伯</v>
      </c>
      <c r="C681" s="9" t="str">
        <f>IFERROR(__xludf.DUMMYFUNCTION("""COMPUTED_VALUE"""),"ss1*****011@khvs.tc.edu.tw")</f>
        <v>ss1*****011@khvs.tc.edu.tw</v>
      </c>
      <c r="D681" s="9" t="str">
        <f>IFERROR(__xludf.DUMMYFUNCTION("""COMPUTED_VALUE"""),"光華學校財團法人臺中市光華高級工業職業學校")</f>
        <v>光華學校財團法人臺中市光華高級工業職業學校</v>
      </c>
      <c r="E681" s="9" t="str">
        <f>IFERROR(__xludf.DUMMYFUNCTION("""COMPUTED_VALUE"""),"電機科")</f>
        <v>電機科</v>
      </c>
      <c r="F681" s="9" t="str">
        <f>IFERROR(__xludf.DUMMYFUNCTION("""COMPUTED_VALUE"""),"三年級")</f>
        <v>三年級</v>
      </c>
      <c r="G681" s="9" t="str">
        <f>IFERROR(__xludf.DUMMYFUNCTION("""COMPUTED_VALUE"""),"獎狀")</f>
        <v>獎狀</v>
      </c>
      <c r="H681" s="9"/>
    </row>
    <row r="682">
      <c r="A682" s="13" t="s">
        <v>11</v>
      </c>
      <c r="B682" s="9" t="str">
        <f>IFERROR(__xludf.DUMMYFUNCTION("""COMPUTED_VALUE"""),"林O淳")</f>
        <v>林O淳</v>
      </c>
      <c r="C682" s="9" t="str">
        <f>IFERROR(__xludf.DUMMYFUNCTION("""COMPUTED_VALUE"""),"523*****n@gmail.com")</f>
        <v>523*****n@gmail.com</v>
      </c>
      <c r="D682" s="9" t="str">
        <f>IFERROR(__xludf.DUMMYFUNCTION("""COMPUTED_VALUE"""),"永誠學校財團法人臺中市大明高級中等學校")</f>
        <v>永誠學校財團法人臺中市大明高級中等學校</v>
      </c>
      <c r="E682" s="9" t="str">
        <f>IFERROR(__xludf.DUMMYFUNCTION("""COMPUTED_VALUE"""),"美工科")</f>
        <v>美工科</v>
      </c>
      <c r="F682" s="9" t="str">
        <f>IFERROR(__xludf.DUMMYFUNCTION("""COMPUTED_VALUE"""),"二年級")</f>
        <v>二年級</v>
      </c>
      <c r="G682" s="9" t="str">
        <f>IFERROR(__xludf.DUMMYFUNCTION("""COMPUTED_VALUE"""),"獎狀")</f>
        <v>獎狀</v>
      </c>
      <c r="H682" s="9"/>
    </row>
    <row r="683">
      <c r="A683" s="13" t="s">
        <v>11</v>
      </c>
      <c r="B683" s="9" t="str">
        <f>IFERROR(__xludf.DUMMYFUNCTION("""COMPUTED_VALUE"""),"何O欣")</f>
        <v>何O欣</v>
      </c>
      <c r="C683" s="9" t="str">
        <f>IFERROR(__xludf.DUMMYFUNCTION("""COMPUTED_VALUE"""),"rhe*****gmail.com")</f>
        <v>rhe*****gmail.com</v>
      </c>
      <c r="D683" s="9" t="str">
        <f>IFERROR(__xludf.DUMMYFUNCTION("""COMPUTED_VALUE"""),"永誠學校財團法人臺中市大明高級中等學校")</f>
        <v>永誠學校財團法人臺中市大明高級中等學校</v>
      </c>
      <c r="E683" s="9" t="str">
        <f>IFERROR(__xludf.DUMMYFUNCTION("""COMPUTED_VALUE"""),"廣告設計科")</f>
        <v>廣告設計科</v>
      </c>
      <c r="F683" s="9" t="str">
        <f>IFERROR(__xludf.DUMMYFUNCTION("""COMPUTED_VALUE"""),"三年級")</f>
        <v>三年級</v>
      </c>
      <c r="G683" s="9" t="str">
        <f>IFERROR(__xludf.DUMMYFUNCTION("""COMPUTED_VALUE"""),"獎狀")</f>
        <v>獎狀</v>
      </c>
      <c r="H683" s="9"/>
    </row>
    <row r="684">
      <c r="A684" s="13" t="s">
        <v>11</v>
      </c>
      <c r="B684" s="9" t="str">
        <f>IFERROR(__xludf.DUMMYFUNCTION("""COMPUTED_VALUE"""),"張O軒")</f>
        <v>張O軒</v>
      </c>
      <c r="C684" s="9" t="str">
        <f>IFERROR(__xludf.DUMMYFUNCTION("""COMPUTED_VALUE"""),"cp1*****24@stu.ctas.tc.edu.tw")</f>
        <v>cp1*****24@stu.ctas.tc.edu.tw</v>
      </c>
      <c r="D684" s="9" t="str">
        <f>IFERROR(__xludf.DUMMYFUNCTION("""COMPUTED_VALUE"""),"臺中市私立僑泰高級中學")</f>
        <v>臺中市私立僑泰高級中學</v>
      </c>
      <c r="E684" s="9" t="str">
        <f>IFERROR(__xludf.DUMMYFUNCTION("""COMPUTED_VALUE"""),"幼保科")</f>
        <v>幼保科</v>
      </c>
      <c r="F684" s="9" t="str">
        <f>IFERROR(__xludf.DUMMYFUNCTION("""COMPUTED_VALUE"""),"二年級")</f>
        <v>二年級</v>
      </c>
      <c r="G684" s="9" t="str">
        <f>IFERROR(__xludf.DUMMYFUNCTION("""COMPUTED_VALUE"""),"獎狀")</f>
        <v>獎狀</v>
      </c>
      <c r="H684" s="9"/>
    </row>
    <row r="685">
      <c r="A685" s="13" t="s">
        <v>11</v>
      </c>
      <c r="B685" s="9" t="str">
        <f>IFERROR(__xludf.DUMMYFUNCTION("""COMPUTED_VALUE"""),"林O浩")</f>
        <v>林O浩</v>
      </c>
      <c r="C685" s="9" t="str">
        <f>IFERROR(__xludf.DUMMYFUNCTION("""COMPUTED_VALUE"""),"inf*****016@stu.ctas.tc.edu.tw")</f>
        <v>inf*****016@stu.ctas.tc.edu.tw</v>
      </c>
      <c r="D685" s="9" t="str">
        <f>IFERROR(__xludf.DUMMYFUNCTION("""COMPUTED_VALUE"""),"臺中市私立僑泰高級中學")</f>
        <v>臺中市私立僑泰高級中學</v>
      </c>
      <c r="E685" s="9" t="str">
        <f>IFERROR(__xludf.DUMMYFUNCTION("""COMPUTED_VALUE"""),"資訊科")</f>
        <v>資訊科</v>
      </c>
      <c r="F685" s="9" t="str">
        <f>IFERROR(__xludf.DUMMYFUNCTION("""COMPUTED_VALUE"""),"一年級")</f>
        <v>一年級</v>
      </c>
      <c r="G685" s="9" t="str">
        <f>IFERROR(__xludf.DUMMYFUNCTION("""COMPUTED_VALUE"""),"獎狀")</f>
        <v>獎狀</v>
      </c>
      <c r="H685" s="9"/>
    </row>
    <row r="686">
      <c r="A686" s="13" t="s">
        <v>11</v>
      </c>
      <c r="B686" s="9" t="str">
        <f>IFERROR(__xludf.DUMMYFUNCTION("""COMPUTED_VALUE"""),"林O德")</f>
        <v>林O德</v>
      </c>
      <c r="C686" s="9" t="str">
        <f>IFERROR(__xludf.DUMMYFUNCTION("""COMPUTED_VALUE"""),"217*****ufai.tc.edu.tw")</f>
        <v>217*****ufai.tc.edu.tw</v>
      </c>
      <c r="D686" s="9" t="str">
        <f>IFERROR(__xludf.DUMMYFUNCTION("""COMPUTED_VALUE"""),"臺中市立霧峰農業工業高級中等學校")</f>
        <v>臺中市立霧峰農業工業高級中等學校</v>
      </c>
      <c r="E686" s="9" t="str">
        <f>IFERROR(__xludf.DUMMYFUNCTION("""COMPUTED_VALUE"""),"電子科")</f>
        <v>電子科</v>
      </c>
      <c r="F686" s="9" t="str">
        <f>IFERROR(__xludf.DUMMYFUNCTION("""COMPUTED_VALUE"""),"二年級")</f>
        <v>二年級</v>
      </c>
      <c r="G686" s="9" t="str">
        <f>IFERROR(__xludf.DUMMYFUNCTION("""COMPUTED_VALUE"""),"獎狀")</f>
        <v>獎狀</v>
      </c>
      <c r="H686" s="9"/>
    </row>
    <row r="687">
      <c r="A687" s="13" t="s">
        <v>11</v>
      </c>
      <c r="B687" s="9" t="str">
        <f>IFERROR(__xludf.DUMMYFUNCTION("""COMPUTED_VALUE"""),"簡O安")</f>
        <v>簡O安</v>
      </c>
      <c r="C687" s="9" t="str">
        <f>IFERROR(__xludf.DUMMYFUNCTION("""COMPUTED_VALUE"""),"216*****ufai.tc.edu.tw")</f>
        <v>216*****ufai.tc.edu.tw</v>
      </c>
      <c r="D687" s="9" t="str">
        <f>IFERROR(__xludf.DUMMYFUNCTION("""COMPUTED_VALUE"""),"臺中市立霧峰農業工業高級中等學校")</f>
        <v>臺中市立霧峰農業工業高級中等學校</v>
      </c>
      <c r="E687" s="9" t="str">
        <f>IFERROR(__xludf.DUMMYFUNCTION("""COMPUTED_VALUE"""),"電機科")</f>
        <v>電機科</v>
      </c>
      <c r="F687" s="9" t="str">
        <f>IFERROR(__xludf.DUMMYFUNCTION("""COMPUTED_VALUE"""),"二年級")</f>
        <v>二年級</v>
      </c>
      <c r="G687" s="9" t="str">
        <f>IFERROR(__xludf.DUMMYFUNCTION("""COMPUTED_VALUE"""),"獎狀")</f>
        <v>獎狀</v>
      </c>
      <c r="H687" s="9"/>
    </row>
    <row r="688">
      <c r="A688" s="13" t="s">
        <v>11</v>
      </c>
      <c r="B688" s="9" t="str">
        <f>IFERROR(__xludf.DUMMYFUNCTION("""COMPUTED_VALUE"""),"陳O孜")</f>
        <v>陳O孜</v>
      </c>
      <c r="C688" s="9" t="str">
        <f>IFERROR(__xludf.DUMMYFUNCTION("""COMPUTED_VALUE"""),"216*****ufai.tc.edu.tw")</f>
        <v>216*****ufai.tc.edu.tw</v>
      </c>
      <c r="D688" s="9" t="str">
        <f>IFERROR(__xludf.DUMMYFUNCTION("""COMPUTED_VALUE"""),"臺中市立霧峰農業工業高級中等學校")</f>
        <v>臺中市立霧峰農業工業高級中等學校</v>
      </c>
      <c r="E688" s="9" t="str">
        <f>IFERROR(__xludf.DUMMYFUNCTION("""COMPUTED_VALUE"""),"電機科")</f>
        <v>電機科</v>
      </c>
      <c r="F688" s="9" t="str">
        <f>IFERROR(__xludf.DUMMYFUNCTION("""COMPUTED_VALUE"""),"二年級")</f>
        <v>二年級</v>
      </c>
      <c r="G688" s="9" t="str">
        <f>IFERROR(__xludf.DUMMYFUNCTION("""COMPUTED_VALUE"""),"獎狀")</f>
        <v>獎狀</v>
      </c>
      <c r="H688" s="9"/>
    </row>
    <row r="689">
      <c r="A689" s="13" t="s">
        <v>11</v>
      </c>
      <c r="B689" s="9" t="str">
        <f>IFERROR(__xludf.DUMMYFUNCTION("""COMPUTED_VALUE"""),"許O玉")</f>
        <v>許O玉</v>
      </c>
      <c r="C689" s="9" t="str">
        <f>IFERROR(__xludf.DUMMYFUNCTION("""COMPUTED_VALUE"""),"216*****ufai.tc.edu.tw")</f>
        <v>216*****ufai.tc.edu.tw</v>
      </c>
      <c r="D689" s="9" t="str">
        <f>IFERROR(__xludf.DUMMYFUNCTION("""COMPUTED_VALUE"""),"臺中市立霧峰農業工業高級中等學校")</f>
        <v>臺中市立霧峰農業工業高級中等學校</v>
      </c>
      <c r="E689" s="9" t="str">
        <f>IFERROR(__xludf.DUMMYFUNCTION("""COMPUTED_VALUE"""),"電機科")</f>
        <v>電機科</v>
      </c>
      <c r="F689" s="9" t="str">
        <f>IFERROR(__xludf.DUMMYFUNCTION("""COMPUTED_VALUE"""),"二年級")</f>
        <v>二年級</v>
      </c>
      <c r="G689" s="9" t="str">
        <f>IFERROR(__xludf.DUMMYFUNCTION("""COMPUTED_VALUE"""),"獎狀")</f>
        <v>獎狀</v>
      </c>
      <c r="H689" s="9"/>
    </row>
    <row r="690">
      <c r="A690" s="13" t="s">
        <v>11</v>
      </c>
      <c r="B690" s="9" t="str">
        <f>IFERROR(__xludf.DUMMYFUNCTION("""COMPUTED_VALUE"""),"楊O禹")</f>
        <v>楊O禹</v>
      </c>
      <c r="C690" s="9" t="str">
        <f>IFERROR(__xludf.DUMMYFUNCTION("""COMPUTED_VALUE"""),"sal*****20@gmail.com")</f>
        <v>sal*****20@gmail.com</v>
      </c>
      <c r="D690" s="9" t="str">
        <f>IFERROR(__xludf.DUMMYFUNCTION("""COMPUTED_VALUE"""),"臺中市私立明道高級中學")</f>
        <v>臺中市私立明道高級中學</v>
      </c>
      <c r="E690" s="9" t="str">
        <f>IFERROR(__xludf.DUMMYFUNCTION("""COMPUTED_VALUE"""),"商業經營科")</f>
        <v>商業經營科</v>
      </c>
      <c r="F690" s="9" t="str">
        <f>IFERROR(__xludf.DUMMYFUNCTION("""COMPUTED_VALUE"""),"一年級")</f>
        <v>一年級</v>
      </c>
      <c r="G690" s="9" t="str">
        <f>IFERROR(__xludf.DUMMYFUNCTION("""COMPUTED_VALUE"""),"○商品卡$500")</f>
        <v>○商品卡$500</v>
      </c>
      <c r="H690" s="9"/>
    </row>
    <row r="691">
      <c r="A691" s="13" t="s">
        <v>11</v>
      </c>
      <c r="B691" s="9" t="str">
        <f>IFERROR(__xludf.DUMMYFUNCTION("""COMPUTED_VALUE"""),"吳O辰")</f>
        <v>吳O辰</v>
      </c>
      <c r="C691" s="9" t="str">
        <f>IFERROR(__xludf.DUMMYFUNCTION("""COMPUTED_VALUE"""),"wus*****n118@gmail.com")</f>
        <v>wus*****n118@gmail.com</v>
      </c>
      <c r="D691" s="9" t="str">
        <f>IFERROR(__xludf.DUMMYFUNCTION("""COMPUTED_VALUE"""),"臺中市私立明道高級中學")</f>
        <v>臺中市私立明道高級中學</v>
      </c>
      <c r="E691" s="9" t="str">
        <f>IFERROR(__xludf.DUMMYFUNCTION("""COMPUTED_VALUE"""),"商業經營科")</f>
        <v>商業經營科</v>
      </c>
      <c r="F691" s="9" t="str">
        <f>IFERROR(__xludf.DUMMYFUNCTION("""COMPUTED_VALUE"""),"二年級")</f>
        <v>二年級</v>
      </c>
      <c r="G691" s="9" t="str">
        <f>IFERROR(__xludf.DUMMYFUNCTION("""COMPUTED_VALUE"""),"獎狀")</f>
        <v>獎狀</v>
      </c>
      <c r="H691" s="9"/>
    </row>
    <row r="692">
      <c r="A692" s="13" t="s">
        <v>11</v>
      </c>
      <c r="B692" s="9" t="str">
        <f>IFERROR(__xludf.DUMMYFUNCTION("""COMPUTED_VALUE"""),"黃O晴")</f>
        <v>黃O晴</v>
      </c>
      <c r="C692" s="9" t="str">
        <f>IFERROR(__xludf.DUMMYFUNCTION("""COMPUTED_VALUE"""),"21v*****s.mingdao.edu.tw")</f>
        <v>21v*****s.mingdao.edu.tw</v>
      </c>
      <c r="D692" s="9" t="str">
        <f>IFERROR(__xludf.DUMMYFUNCTION("""COMPUTED_VALUE"""),"臺中市私立明道高級中學")</f>
        <v>臺中市私立明道高級中學</v>
      </c>
      <c r="E692" s="9" t="str">
        <f>IFERROR(__xludf.DUMMYFUNCTION("""COMPUTED_VALUE"""),"商管群")</f>
        <v>商管群</v>
      </c>
      <c r="F692" s="9" t="str">
        <f>IFERROR(__xludf.DUMMYFUNCTION("""COMPUTED_VALUE"""),"二年級")</f>
        <v>二年級</v>
      </c>
      <c r="G692" s="9" t="str">
        <f>IFERROR(__xludf.DUMMYFUNCTION("""COMPUTED_VALUE"""),"獎狀")</f>
        <v>獎狀</v>
      </c>
      <c r="H692" s="9"/>
    </row>
    <row r="693">
      <c r="A693" s="13" t="s">
        <v>11</v>
      </c>
      <c r="B693" s="9" t="str">
        <f>IFERROR(__xludf.DUMMYFUNCTION("""COMPUTED_VALUE"""),"江O展")</f>
        <v>江O展</v>
      </c>
      <c r="C693" s="9" t="str">
        <f>IFERROR(__xludf.DUMMYFUNCTION("""COMPUTED_VALUE"""),"21v*****s.mingdao.edu.tw")</f>
        <v>21v*****s.mingdao.edu.tw</v>
      </c>
      <c r="D693" s="9" t="str">
        <f>IFERROR(__xludf.DUMMYFUNCTION("""COMPUTED_VALUE"""),"臺中市私立明道高級中學")</f>
        <v>臺中市私立明道高級中學</v>
      </c>
      <c r="E693" s="9" t="str">
        <f>IFERROR(__xludf.DUMMYFUNCTION("""COMPUTED_VALUE"""),"商管群")</f>
        <v>商管群</v>
      </c>
      <c r="F693" s="9" t="str">
        <f>IFERROR(__xludf.DUMMYFUNCTION("""COMPUTED_VALUE"""),"二年級")</f>
        <v>二年級</v>
      </c>
      <c r="G693" s="9" t="str">
        <f>IFERROR(__xludf.DUMMYFUNCTION("""COMPUTED_VALUE"""),"獎狀")</f>
        <v>獎狀</v>
      </c>
      <c r="H693" s="9"/>
    </row>
    <row r="694">
      <c r="A694" s="13" t="s">
        <v>11</v>
      </c>
      <c r="B694" s="9" t="str">
        <f>IFERROR(__xludf.DUMMYFUNCTION("""COMPUTED_VALUE"""),"梁O心")</f>
        <v>梁O心</v>
      </c>
      <c r="C694" s="9" t="str">
        <f>IFERROR(__xludf.DUMMYFUNCTION("""COMPUTED_VALUE"""),"21v*****s.mingdao.edu.tw")</f>
        <v>21v*****s.mingdao.edu.tw</v>
      </c>
      <c r="D694" s="9" t="str">
        <f>IFERROR(__xludf.DUMMYFUNCTION("""COMPUTED_VALUE"""),"臺中市私立明道高級中學")</f>
        <v>臺中市私立明道高級中學</v>
      </c>
      <c r="E694" s="9" t="str">
        <f>IFERROR(__xludf.DUMMYFUNCTION("""COMPUTED_VALUE"""),"商管群")</f>
        <v>商管群</v>
      </c>
      <c r="F694" s="9" t="str">
        <f>IFERROR(__xludf.DUMMYFUNCTION("""COMPUTED_VALUE"""),"二年級")</f>
        <v>二年級</v>
      </c>
      <c r="G694" s="9" t="str">
        <f>IFERROR(__xludf.DUMMYFUNCTION("""COMPUTED_VALUE"""),"獎狀")</f>
        <v>獎狀</v>
      </c>
      <c r="H694" s="9"/>
    </row>
    <row r="695">
      <c r="A695" s="13" t="s">
        <v>11</v>
      </c>
      <c r="B695" s="9" t="str">
        <f>IFERROR(__xludf.DUMMYFUNCTION("""COMPUTED_VALUE"""),"廖O皓")</f>
        <v>廖O皓</v>
      </c>
      <c r="C695" s="9" t="str">
        <f>IFERROR(__xludf.DUMMYFUNCTION("""COMPUTED_VALUE"""),"21v*****s.mingdao.edu.tw")</f>
        <v>21v*****s.mingdao.edu.tw</v>
      </c>
      <c r="D695" s="9" t="str">
        <f>IFERROR(__xludf.DUMMYFUNCTION("""COMPUTED_VALUE"""),"臺中市私立明道高級中學")</f>
        <v>臺中市私立明道高級中學</v>
      </c>
      <c r="E695" s="9" t="str">
        <f>IFERROR(__xludf.DUMMYFUNCTION("""COMPUTED_VALUE"""),"商管群")</f>
        <v>商管群</v>
      </c>
      <c r="F695" s="9" t="str">
        <f>IFERROR(__xludf.DUMMYFUNCTION("""COMPUTED_VALUE"""),"二年級")</f>
        <v>二年級</v>
      </c>
      <c r="G695" s="9" t="str">
        <f>IFERROR(__xludf.DUMMYFUNCTION("""COMPUTED_VALUE"""),"獎狀")</f>
        <v>獎狀</v>
      </c>
      <c r="H695" s="9"/>
    </row>
    <row r="696">
      <c r="A696" s="13" t="s">
        <v>11</v>
      </c>
      <c r="B696" s="9" t="str">
        <f>IFERROR(__xludf.DUMMYFUNCTION("""COMPUTED_VALUE"""),"邱O萱")</f>
        <v>邱O萱</v>
      </c>
      <c r="C696" s="9" t="str">
        <f>IFERROR(__xludf.DUMMYFUNCTION("""COMPUTED_VALUE"""),"21v*****s.mingdao.edu.tw")</f>
        <v>21v*****s.mingdao.edu.tw</v>
      </c>
      <c r="D696" s="9" t="str">
        <f>IFERROR(__xludf.DUMMYFUNCTION("""COMPUTED_VALUE"""),"臺中市私立明道高級中學")</f>
        <v>臺中市私立明道高級中學</v>
      </c>
      <c r="E696" s="9" t="str">
        <f>IFERROR(__xludf.DUMMYFUNCTION("""COMPUTED_VALUE"""),"商管群")</f>
        <v>商管群</v>
      </c>
      <c r="F696" s="9" t="str">
        <f>IFERROR(__xludf.DUMMYFUNCTION("""COMPUTED_VALUE"""),"二年級")</f>
        <v>二年級</v>
      </c>
      <c r="G696" s="9" t="str">
        <f>IFERROR(__xludf.DUMMYFUNCTION("""COMPUTED_VALUE"""),"獎狀")</f>
        <v>獎狀</v>
      </c>
      <c r="H696" s="9"/>
    </row>
    <row r="697">
      <c r="A697" s="13" t="s">
        <v>11</v>
      </c>
      <c r="B697" s="9" t="str">
        <f>IFERROR(__xludf.DUMMYFUNCTION("""COMPUTED_VALUE"""),"賴O伊")</f>
        <v>賴O伊</v>
      </c>
      <c r="C697" s="9" t="str">
        <f>IFERROR(__xludf.DUMMYFUNCTION("""COMPUTED_VALUE"""),"21v*****s.mingdao.edu.tw")</f>
        <v>21v*****s.mingdao.edu.tw</v>
      </c>
      <c r="D697" s="9" t="str">
        <f>IFERROR(__xludf.DUMMYFUNCTION("""COMPUTED_VALUE"""),"臺中市私立明道高級中學")</f>
        <v>臺中市私立明道高級中學</v>
      </c>
      <c r="E697" s="9" t="str">
        <f>IFERROR(__xludf.DUMMYFUNCTION("""COMPUTED_VALUE"""),"商管群")</f>
        <v>商管群</v>
      </c>
      <c r="F697" s="9" t="str">
        <f>IFERROR(__xludf.DUMMYFUNCTION("""COMPUTED_VALUE"""),"二年級")</f>
        <v>二年級</v>
      </c>
      <c r="G697" s="9" t="str">
        <f>IFERROR(__xludf.DUMMYFUNCTION("""COMPUTED_VALUE"""),"獎狀")</f>
        <v>獎狀</v>
      </c>
      <c r="H697" s="9"/>
    </row>
    <row r="698">
      <c r="A698" s="13" t="s">
        <v>11</v>
      </c>
      <c r="B698" s="9" t="str">
        <f>IFERROR(__xludf.DUMMYFUNCTION("""COMPUTED_VALUE"""),"楊O傑")</f>
        <v>楊O傑</v>
      </c>
      <c r="C698" s="9" t="str">
        <f>IFERROR(__xludf.DUMMYFUNCTION("""COMPUTED_VALUE"""),"21v*****s.mingdao.edu.tw")</f>
        <v>21v*****s.mingdao.edu.tw</v>
      </c>
      <c r="D698" s="9" t="str">
        <f>IFERROR(__xludf.DUMMYFUNCTION("""COMPUTED_VALUE"""),"臺中市私立明道高級中學")</f>
        <v>臺中市私立明道高級中學</v>
      </c>
      <c r="E698" s="9" t="str">
        <f>IFERROR(__xludf.DUMMYFUNCTION("""COMPUTED_VALUE"""),"商管群")</f>
        <v>商管群</v>
      </c>
      <c r="F698" s="9" t="str">
        <f>IFERROR(__xludf.DUMMYFUNCTION("""COMPUTED_VALUE"""),"二年級")</f>
        <v>二年級</v>
      </c>
      <c r="G698" s="9" t="str">
        <f>IFERROR(__xludf.DUMMYFUNCTION("""COMPUTED_VALUE"""),"獎狀")</f>
        <v>獎狀</v>
      </c>
      <c r="H698" s="9"/>
    </row>
    <row r="699">
      <c r="A699" s="13" t="s">
        <v>11</v>
      </c>
      <c r="B699" s="9" t="str">
        <f>IFERROR(__xludf.DUMMYFUNCTION("""COMPUTED_VALUE"""),"陸O維")</f>
        <v>陸O維</v>
      </c>
      <c r="C699" s="9" t="str">
        <f>IFERROR(__xludf.DUMMYFUNCTION("""COMPUTED_VALUE"""),"21v*****s.mingdao.edu.tw")</f>
        <v>21v*****s.mingdao.edu.tw</v>
      </c>
      <c r="D699" s="9" t="str">
        <f>IFERROR(__xludf.DUMMYFUNCTION("""COMPUTED_VALUE"""),"臺中市私立明道高級中學")</f>
        <v>臺中市私立明道高級中學</v>
      </c>
      <c r="E699" s="9" t="str">
        <f>IFERROR(__xludf.DUMMYFUNCTION("""COMPUTED_VALUE"""),"商管群")</f>
        <v>商管群</v>
      </c>
      <c r="F699" s="9" t="str">
        <f>IFERROR(__xludf.DUMMYFUNCTION("""COMPUTED_VALUE"""),"二年級")</f>
        <v>二年級</v>
      </c>
      <c r="G699" s="9" t="str">
        <f>IFERROR(__xludf.DUMMYFUNCTION("""COMPUTED_VALUE"""),"獎狀")</f>
        <v>獎狀</v>
      </c>
      <c r="H699" s="9"/>
    </row>
    <row r="700">
      <c r="A700" s="13" t="s">
        <v>11</v>
      </c>
      <c r="B700" s="9" t="str">
        <f>IFERROR(__xludf.DUMMYFUNCTION("""COMPUTED_VALUE"""),"楊O臻")</f>
        <v>楊O臻</v>
      </c>
      <c r="C700" s="9" t="str">
        <f>IFERROR(__xludf.DUMMYFUNCTION("""COMPUTED_VALUE"""),"21v*****s.mingdao.edu.tw")</f>
        <v>21v*****s.mingdao.edu.tw</v>
      </c>
      <c r="D700" s="9" t="str">
        <f>IFERROR(__xludf.DUMMYFUNCTION("""COMPUTED_VALUE"""),"臺中市私立明道高級中學")</f>
        <v>臺中市私立明道高級中學</v>
      </c>
      <c r="E700" s="9" t="str">
        <f>IFERROR(__xludf.DUMMYFUNCTION("""COMPUTED_VALUE"""),"商管群")</f>
        <v>商管群</v>
      </c>
      <c r="F700" s="9" t="str">
        <f>IFERROR(__xludf.DUMMYFUNCTION("""COMPUTED_VALUE"""),"二年級")</f>
        <v>二年級</v>
      </c>
      <c r="G700" s="9" t="str">
        <f>IFERROR(__xludf.DUMMYFUNCTION("""COMPUTED_VALUE"""),"獎狀")</f>
        <v>獎狀</v>
      </c>
      <c r="H700" s="9"/>
    </row>
    <row r="701">
      <c r="A701" s="13" t="s">
        <v>11</v>
      </c>
      <c r="B701" s="9" t="str">
        <f>IFERROR(__xludf.DUMMYFUNCTION("""COMPUTED_VALUE"""),"林O歆")</f>
        <v>林O歆</v>
      </c>
      <c r="C701" s="9" t="str">
        <f>IFERROR(__xludf.DUMMYFUNCTION("""COMPUTED_VALUE"""),"21v*****s.mingdao.edu.tw")</f>
        <v>21v*****s.mingdao.edu.tw</v>
      </c>
      <c r="D701" s="9" t="str">
        <f>IFERROR(__xludf.DUMMYFUNCTION("""COMPUTED_VALUE"""),"臺中市私立明道高級中學")</f>
        <v>臺中市私立明道高級中學</v>
      </c>
      <c r="E701" s="9" t="str">
        <f>IFERROR(__xludf.DUMMYFUNCTION("""COMPUTED_VALUE"""),"商管群")</f>
        <v>商管群</v>
      </c>
      <c r="F701" s="9" t="str">
        <f>IFERROR(__xludf.DUMMYFUNCTION("""COMPUTED_VALUE"""),"二年級")</f>
        <v>二年級</v>
      </c>
      <c r="G701" s="9" t="str">
        <f>IFERROR(__xludf.DUMMYFUNCTION("""COMPUTED_VALUE"""),"獎狀")</f>
        <v>獎狀</v>
      </c>
      <c r="H701" s="9"/>
    </row>
    <row r="702">
      <c r="A702" s="13" t="s">
        <v>11</v>
      </c>
      <c r="B702" s="9" t="str">
        <f>IFERROR(__xludf.DUMMYFUNCTION("""COMPUTED_VALUE"""),"呂O佳")</f>
        <v>呂O佳</v>
      </c>
      <c r="C702" s="9" t="str">
        <f>IFERROR(__xludf.DUMMYFUNCTION("""COMPUTED_VALUE"""),"21v*****s.mingdao.edu.tw")</f>
        <v>21v*****s.mingdao.edu.tw</v>
      </c>
      <c r="D702" s="9" t="str">
        <f>IFERROR(__xludf.DUMMYFUNCTION("""COMPUTED_VALUE"""),"臺中市私立明道高級中學")</f>
        <v>臺中市私立明道高級中學</v>
      </c>
      <c r="E702" s="9" t="str">
        <f>IFERROR(__xludf.DUMMYFUNCTION("""COMPUTED_VALUE"""),"餐旅群")</f>
        <v>餐旅群</v>
      </c>
      <c r="F702" s="9" t="str">
        <f>IFERROR(__xludf.DUMMYFUNCTION("""COMPUTED_VALUE"""),"三年級")</f>
        <v>三年級</v>
      </c>
      <c r="G702" s="9" t="str">
        <f>IFERROR(__xludf.DUMMYFUNCTION("""COMPUTED_VALUE"""),"獎狀")</f>
        <v>獎狀</v>
      </c>
      <c r="H702" s="11"/>
    </row>
    <row r="703">
      <c r="A703" s="13" t="s">
        <v>11</v>
      </c>
      <c r="B703" s="9" t="str">
        <f>IFERROR(__xludf.DUMMYFUNCTION("""COMPUTED_VALUE"""),"賴O昕")</f>
        <v>賴O昕</v>
      </c>
      <c r="C703" s="9" t="str">
        <f>IFERROR(__xludf.DUMMYFUNCTION("""COMPUTED_VALUE"""),"21v*****s.mingdao.edu.tw")</f>
        <v>21v*****s.mingdao.edu.tw</v>
      </c>
      <c r="D703" s="9" t="str">
        <f>IFERROR(__xludf.DUMMYFUNCTION("""COMPUTED_VALUE"""),"臺中市私立明道高級中學")</f>
        <v>臺中市私立明道高級中學</v>
      </c>
      <c r="E703" s="9" t="str">
        <f>IFERROR(__xludf.DUMMYFUNCTION("""COMPUTED_VALUE"""),"餐旅群")</f>
        <v>餐旅群</v>
      </c>
      <c r="F703" s="9" t="str">
        <f>IFERROR(__xludf.DUMMYFUNCTION("""COMPUTED_VALUE"""),"二年級")</f>
        <v>二年級</v>
      </c>
      <c r="G703" s="9" t="str">
        <f>IFERROR(__xludf.DUMMYFUNCTION("""COMPUTED_VALUE"""),"獎狀")</f>
        <v>獎狀</v>
      </c>
      <c r="H703" s="11"/>
    </row>
    <row r="704">
      <c r="A704" s="13" t="s">
        <v>11</v>
      </c>
      <c r="B704" s="9" t="str">
        <f>IFERROR(__xludf.DUMMYFUNCTION("""COMPUTED_VALUE"""),"林O琦")</f>
        <v>林O琦</v>
      </c>
      <c r="C704" s="9" t="str">
        <f>IFERROR(__xludf.DUMMYFUNCTION("""COMPUTED_VALUE"""),"31v*****s.mingdao.edu.tw")</f>
        <v>31v*****s.mingdao.edu.tw</v>
      </c>
      <c r="D704" s="9" t="str">
        <f>IFERROR(__xludf.DUMMYFUNCTION("""COMPUTED_VALUE"""),"臺中市私立明道高級中學")</f>
        <v>臺中市私立明道高級中學</v>
      </c>
      <c r="E704" s="9" t="str">
        <f>IFERROR(__xludf.DUMMYFUNCTION("""COMPUTED_VALUE"""),"應英科")</f>
        <v>應英科</v>
      </c>
      <c r="F704" s="9" t="str">
        <f>IFERROR(__xludf.DUMMYFUNCTION("""COMPUTED_VALUE"""),"一年級")</f>
        <v>一年級</v>
      </c>
      <c r="G704" s="9" t="str">
        <f>IFERROR(__xludf.DUMMYFUNCTION("""COMPUTED_VALUE"""),"○商品卡$500")</f>
        <v>○商品卡$500</v>
      </c>
      <c r="H704" s="9"/>
    </row>
    <row r="705">
      <c r="A705" s="13" t="s">
        <v>11</v>
      </c>
      <c r="B705" s="9" t="str">
        <f>IFERROR(__xludf.DUMMYFUNCTION("""COMPUTED_VALUE"""),"吳O涵")</f>
        <v>吳O涵</v>
      </c>
      <c r="C705" s="9" t="str">
        <f>IFERROR(__xludf.DUMMYFUNCTION("""COMPUTED_VALUE"""),"31v*****s.mingdao.edu.tw")</f>
        <v>31v*****s.mingdao.edu.tw</v>
      </c>
      <c r="D705" s="9" t="str">
        <f>IFERROR(__xludf.DUMMYFUNCTION("""COMPUTED_VALUE"""),"臺中市私立明道高級中學")</f>
        <v>臺中市私立明道高級中學</v>
      </c>
      <c r="E705" s="9" t="str">
        <f>IFERROR(__xludf.DUMMYFUNCTION("""COMPUTED_VALUE"""),"應英科")</f>
        <v>應英科</v>
      </c>
      <c r="F705" s="9" t="str">
        <f>IFERROR(__xludf.DUMMYFUNCTION("""COMPUTED_VALUE"""),"一年級")</f>
        <v>一年級</v>
      </c>
      <c r="G705" s="9" t="str">
        <f>IFERROR(__xludf.DUMMYFUNCTION("""COMPUTED_VALUE"""),"獎狀")</f>
        <v>獎狀</v>
      </c>
      <c r="H705" s="9"/>
    </row>
    <row r="706">
      <c r="A706" s="13" t="s">
        <v>11</v>
      </c>
      <c r="B706" s="9" t="str">
        <f>IFERROR(__xludf.DUMMYFUNCTION("""COMPUTED_VALUE"""),"莊O秝")</f>
        <v>莊O秝</v>
      </c>
      <c r="C706" s="9" t="str">
        <f>IFERROR(__xludf.DUMMYFUNCTION("""COMPUTED_VALUE"""),"31v*****s.mingdao.edu.tw")</f>
        <v>31v*****s.mingdao.edu.tw</v>
      </c>
      <c r="D706" s="9" t="str">
        <f>IFERROR(__xludf.DUMMYFUNCTION("""COMPUTED_VALUE"""),"臺中市私立明道高級中學")</f>
        <v>臺中市私立明道高級中學</v>
      </c>
      <c r="E706" s="9" t="str">
        <f>IFERROR(__xludf.DUMMYFUNCTION("""COMPUTED_VALUE"""),"應英科")</f>
        <v>應英科</v>
      </c>
      <c r="F706" s="9" t="str">
        <f>IFERROR(__xludf.DUMMYFUNCTION("""COMPUTED_VALUE"""),"一年級")</f>
        <v>一年級</v>
      </c>
      <c r="G706" s="9" t="str">
        <f>IFERROR(__xludf.DUMMYFUNCTION("""COMPUTED_VALUE"""),"獎狀")</f>
        <v>獎狀</v>
      </c>
      <c r="H706" s="9"/>
    </row>
    <row r="707">
      <c r="A707" s="13" t="s">
        <v>11</v>
      </c>
      <c r="B707" s="9" t="str">
        <f>IFERROR(__xludf.DUMMYFUNCTION("""COMPUTED_VALUE"""),"林O勛")</f>
        <v>林O勛</v>
      </c>
      <c r="C707" s="9" t="str">
        <f>IFERROR(__xludf.DUMMYFUNCTION("""COMPUTED_VALUE"""),"31v*****s.mingdao.edu.tw")</f>
        <v>31v*****s.mingdao.edu.tw</v>
      </c>
      <c r="D707" s="9" t="str">
        <f>IFERROR(__xludf.DUMMYFUNCTION("""COMPUTED_VALUE"""),"臺中市私立明道高級中學")</f>
        <v>臺中市私立明道高級中學</v>
      </c>
      <c r="E707" s="9" t="str">
        <f>IFERROR(__xludf.DUMMYFUNCTION("""COMPUTED_VALUE"""),"應英科")</f>
        <v>應英科</v>
      </c>
      <c r="F707" s="9" t="str">
        <f>IFERROR(__xludf.DUMMYFUNCTION("""COMPUTED_VALUE"""),"一年級")</f>
        <v>一年級</v>
      </c>
      <c r="G707" s="9" t="str">
        <f>IFERROR(__xludf.DUMMYFUNCTION("""COMPUTED_VALUE"""),"○商品卡$500")</f>
        <v>○商品卡$500</v>
      </c>
      <c r="H707" s="9"/>
    </row>
    <row r="708">
      <c r="A708" s="13" t="s">
        <v>11</v>
      </c>
      <c r="B708" s="9" t="str">
        <f>IFERROR(__xludf.DUMMYFUNCTION("""COMPUTED_VALUE"""),"余O叡")</f>
        <v>余O叡</v>
      </c>
      <c r="C708" s="9" t="str">
        <f>IFERROR(__xludf.DUMMYFUNCTION("""COMPUTED_VALUE"""),"31v*****s.mingdao.edu.tw")</f>
        <v>31v*****s.mingdao.edu.tw</v>
      </c>
      <c r="D708" s="9" t="str">
        <f>IFERROR(__xludf.DUMMYFUNCTION("""COMPUTED_VALUE"""),"臺中市私立明道高級中學")</f>
        <v>臺中市私立明道高級中學</v>
      </c>
      <c r="E708" s="9" t="str">
        <f>IFERROR(__xludf.DUMMYFUNCTION("""COMPUTED_VALUE"""),"應英科")</f>
        <v>應英科</v>
      </c>
      <c r="F708" s="9" t="str">
        <f>IFERROR(__xludf.DUMMYFUNCTION("""COMPUTED_VALUE"""),"一年級")</f>
        <v>一年級</v>
      </c>
      <c r="G708" s="9" t="str">
        <f>IFERROR(__xludf.DUMMYFUNCTION("""COMPUTED_VALUE"""),"獎狀")</f>
        <v>獎狀</v>
      </c>
      <c r="H708" s="9"/>
    </row>
    <row r="709">
      <c r="A709" s="13" t="s">
        <v>11</v>
      </c>
      <c r="B709" s="9" t="str">
        <f>IFERROR(__xludf.DUMMYFUNCTION("""COMPUTED_VALUE"""),"江O萱")</f>
        <v>江O萱</v>
      </c>
      <c r="C709" s="9" t="str">
        <f>IFERROR(__xludf.DUMMYFUNCTION("""COMPUTED_VALUE"""),"112*****@fyvs.tc.edu.tw")</f>
        <v>112*****@fyvs.tc.edu.tw</v>
      </c>
      <c r="D709" s="9" t="str">
        <f>IFERROR(__xludf.DUMMYFUNCTION("""COMPUTED_VALUE"""),"臺中市立豐原商業高級中等學校")</f>
        <v>臺中市立豐原商業高級中等學校</v>
      </c>
      <c r="E709" s="9" t="str">
        <f>IFERROR(__xludf.DUMMYFUNCTION("""COMPUTED_VALUE"""),"應英科")</f>
        <v>應英科</v>
      </c>
      <c r="F709" s="9" t="str">
        <f>IFERROR(__xludf.DUMMYFUNCTION("""COMPUTED_VALUE"""),"三年級")</f>
        <v>三年級</v>
      </c>
      <c r="G709" s="9" t="str">
        <f>IFERROR(__xludf.DUMMYFUNCTION("""COMPUTED_VALUE"""),"獎狀")</f>
        <v>獎狀</v>
      </c>
      <c r="H709" s="9"/>
    </row>
    <row r="710">
      <c r="A710" s="13" t="s">
        <v>11</v>
      </c>
      <c r="B710" s="9" t="str">
        <f>IFERROR(__xludf.DUMMYFUNCTION("""COMPUTED_VALUE"""),"黃O承")</f>
        <v>黃O承</v>
      </c>
      <c r="C710" s="9" t="str">
        <f>IFERROR(__xludf.DUMMYFUNCTION("""COMPUTED_VALUE"""),"112*****@fyvs.tc.edu.tw")</f>
        <v>112*****@fyvs.tc.edu.tw</v>
      </c>
      <c r="D710" s="9" t="str">
        <f>IFERROR(__xludf.DUMMYFUNCTION("""COMPUTED_VALUE"""),"臺中市立豐原商業高級中等學校")</f>
        <v>臺中市立豐原商業高級中等學校</v>
      </c>
      <c r="E710" s="9" t="str">
        <f>IFERROR(__xludf.DUMMYFUNCTION("""COMPUTED_VALUE"""),"應英科")</f>
        <v>應英科</v>
      </c>
      <c r="F710" s="9" t="str">
        <f>IFERROR(__xludf.DUMMYFUNCTION("""COMPUTED_VALUE"""),"三年級")</f>
        <v>三年級</v>
      </c>
      <c r="G710" s="9" t="str">
        <f>IFERROR(__xludf.DUMMYFUNCTION("""COMPUTED_VALUE"""),"獎狀")</f>
        <v>獎狀</v>
      </c>
      <c r="H710" s="9"/>
    </row>
    <row r="711">
      <c r="A711" s="13" t="s">
        <v>11</v>
      </c>
      <c r="B711" s="9" t="str">
        <f>IFERROR(__xludf.DUMMYFUNCTION("""COMPUTED_VALUE"""),"盧O岑")</f>
        <v>盧O岑</v>
      </c>
      <c r="C711" s="9" t="str">
        <f>IFERROR(__xludf.DUMMYFUNCTION("""COMPUTED_VALUE"""),"112*****@fyvs.tc.edu.tw")</f>
        <v>112*****@fyvs.tc.edu.tw</v>
      </c>
      <c r="D711" s="9" t="str">
        <f>IFERROR(__xludf.DUMMYFUNCTION("""COMPUTED_VALUE"""),"臺中市立豐原商業高級中等學校")</f>
        <v>臺中市立豐原商業高級中等學校</v>
      </c>
      <c r="E711" s="9" t="str">
        <f>IFERROR(__xludf.DUMMYFUNCTION("""COMPUTED_VALUE"""),"應英科")</f>
        <v>應英科</v>
      </c>
      <c r="F711" s="9" t="str">
        <f>IFERROR(__xludf.DUMMYFUNCTION("""COMPUTED_VALUE"""),"二年級")</f>
        <v>二年級</v>
      </c>
      <c r="G711" s="9" t="str">
        <f>IFERROR(__xludf.DUMMYFUNCTION("""COMPUTED_VALUE"""),"獎狀")</f>
        <v>獎狀</v>
      </c>
      <c r="H711" s="9"/>
    </row>
    <row r="712">
      <c r="A712" s="13" t="s">
        <v>11</v>
      </c>
      <c r="B712" s="9" t="str">
        <f>IFERROR(__xludf.DUMMYFUNCTION("""COMPUTED_VALUE"""),"邱O汝")</f>
        <v>邱O汝</v>
      </c>
      <c r="C712" s="9" t="str">
        <f>IFERROR(__xludf.DUMMYFUNCTION("""COMPUTED_VALUE"""),"112*****@fyvs.tc.edu.tw")</f>
        <v>112*****@fyvs.tc.edu.tw</v>
      </c>
      <c r="D712" s="9" t="str">
        <f>IFERROR(__xludf.DUMMYFUNCTION("""COMPUTED_VALUE"""),"臺中市立豐原商業高級中等學校")</f>
        <v>臺中市立豐原商業高級中等學校</v>
      </c>
      <c r="E712" s="9" t="str">
        <f>IFERROR(__xludf.DUMMYFUNCTION("""COMPUTED_VALUE"""),"應英科")</f>
        <v>應英科</v>
      </c>
      <c r="F712" s="9" t="str">
        <f>IFERROR(__xludf.DUMMYFUNCTION("""COMPUTED_VALUE"""),"三年級")</f>
        <v>三年級</v>
      </c>
      <c r="G712" s="9" t="str">
        <f>IFERROR(__xludf.DUMMYFUNCTION("""COMPUTED_VALUE"""),"獎狀")</f>
        <v>獎狀</v>
      </c>
      <c r="H712" s="9"/>
    </row>
    <row r="713">
      <c r="A713" s="13" t="s">
        <v>11</v>
      </c>
      <c r="B713" s="9" t="str">
        <f>IFERROR(__xludf.DUMMYFUNCTION("""COMPUTED_VALUE"""),"吳O靜")</f>
        <v>吳O靜</v>
      </c>
      <c r="C713" s="9" t="str">
        <f>IFERROR(__xludf.DUMMYFUNCTION("""COMPUTED_VALUE"""),"112*****@fyvs.tc.edu.tw")</f>
        <v>112*****@fyvs.tc.edu.tw</v>
      </c>
      <c r="D713" s="9" t="str">
        <f>IFERROR(__xludf.DUMMYFUNCTION("""COMPUTED_VALUE"""),"臺中市立豐原商業高級中等學校")</f>
        <v>臺中市立豐原商業高級中等學校</v>
      </c>
      <c r="E713" s="9" t="str">
        <f>IFERROR(__xludf.DUMMYFUNCTION("""COMPUTED_VALUE"""),"應英科")</f>
        <v>應英科</v>
      </c>
      <c r="F713" s="9" t="str">
        <f>IFERROR(__xludf.DUMMYFUNCTION("""COMPUTED_VALUE"""),"二年級")</f>
        <v>二年級</v>
      </c>
      <c r="G713" s="9" t="str">
        <f>IFERROR(__xludf.DUMMYFUNCTION("""COMPUTED_VALUE"""),"獎狀")</f>
        <v>獎狀</v>
      </c>
      <c r="H713" s="9"/>
    </row>
    <row r="714">
      <c r="A714" s="13" t="s">
        <v>11</v>
      </c>
      <c r="B714" s="9" t="str">
        <f>IFERROR(__xludf.DUMMYFUNCTION("""COMPUTED_VALUE"""),"蘇O穎")</f>
        <v>蘇O穎</v>
      </c>
      <c r="C714" s="9" t="str">
        <f>IFERROR(__xludf.DUMMYFUNCTION("""COMPUTED_VALUE"""),"112*****@fyvs.tc.edu.tw")</f>
        <v>112*****@fyvs.tc.edu.tw</v>
      </c>
      <c r="D714" s="9" t="str">
        <f>IFERROR(__xludf.DUMMYFUNCTION("""COMPUTED_VALUE"""),"臺中市立豐原商業高級中等學校")</f>
        <v>臺中市立豐原商業高級中等學校</v>
      </c>
      <c r="E714" s="9" t="str">
        <f>IFERROR(__xludf.DUMMYFUNCTION("""COMPUTED_VALUE"""),"應英科")</f>
        <v>應英科</v>
      </c>
      <c r="F714" s="9" t="str">
        <f>IFERROR(__xludf.DUMMYFUNCTION("""COMPUTED_VALUE"""),"三年級")</f>
        <v>三年級</v>
      </c>
      <c r="G714" s="9" t="str">
        <f>IFERROR(__xludf.DUMMYFUNCTION("""COMPUTED_VALUE"""),"獎狀")</f>
        <v>獎狀</v>
      </c>
      <c r="H714" s="9"/>
    </row>
    <row r="715">
      <c r="A715" s="13" t="s">
        <v>11</v>
      </c>
      <c r="B715" s="9" t="str">
        <f>IFERROR(__xludf.DUMMYFUNCTION("""COMPUTED_VALUE"""),"陳O瑾")</f>
        <v>陳O瑾</v>
      </c>
      <c r="C715" s="9" t="str">
        <f>IFERROR(__xludf.DUMMYFUNCTION("""COMPUTED_VALUE"""),"112*****@fyvs.tc.edu.tw")</f>
        <v>112*****@fyvs.tc.edu.tw</v>
      </c>
      <c r="D715" s="9" t="str">
        <f>IFERROR(__xludf.DUMMYFUNCTION("""COMPUTED_VALUE"""),"臺中市立豐原商業高級中等學校")</f>
        <v>臺中市立豐原商業高級中等學校</v>
      </c>
      <c r="E715" s="9" t="str">
        <f>IFERROR(__xludf.DUMMYFUNCTION("""COMPUTED_VALUE"""),"應英科")</f>
        <v>應英科</v>
      </c>
      <c r="F715" s="9" t="str">
        <f>IFERROR(__xludf.DUMMYFUNCTION("""COMPUTED_VALUE"""),"三年級")</f>
        <v>三年級</v>
      </c>
      <c r="G715" s="9" t="str">
        <f>IFERROR(__xludf.DUMMYFUNCTION("""COMPUTED_VALUE"""),"獎狀")</f>
        <v>獎狀</v>
      </c>
      <c r="H715" s="9"/>
    </row>
    <row r="716">
      <c r="A716" s="13" t="s">
        <v>11</v>
      </c>
      <c r="B716" s="9" t="str">
        <f>IFERROR(__xludf.DUMMYFUNCTION("""COMPUTED_VALUE"""),"林O倢")</f>
        <v>林O倢</v>
      </c>
      <c r="C716" s="9" t="str">
        <f>IFERROR(__xludf.DUMMYFUNCTION("""COMPUTED_VALUE"""),"112*****@fyvs.tc.edu.tw")</f>
        <v>112*****@fyvs.tc.edu.tw</v>
      </c>
      <c r="D716" s="9" t="str">
        <f>IFERROR(__xludf.DUMMYFUNCTION("""COMPUTED_VALUE"""),"臺中市立豐原商業高級中等學校")</f>
        <v>臺中市立豐原商業高級中等學校</v>
      </c>
      <c r="E716" s="9" t="str">
        <f>IFERROR(__xludf.DUMMYFUNCTION("""COMPUTED_VALUE"""),"應英科")</f>
        <v>應英科</v>
      </c>
      <c r="F716" s="9" t="str">
        <f>IFERROR(__xludf.DUMMYFUNCTION("""COMPUTED_VALUE"""),"三年級")</f>
        <v>三年級</v>
      </c>
      <c r="G716" s="9" t="str">
        <f>IFERROR(__xludf.DUMMYFUNCTION("""COMPUTED_VALUE"""),"獎狀")</f>
        <v>獎狀</v>
      </c>
      <c r="H716" s="9"/>
    </row>
    <row r="717">
      <c r="A717" s="13" t="s">
        <v>11</v>
      </c>
      <c r="B717" s="9" t="str">
        <f>IFERROR(__xludf.DUMMYFUNCTION("""COMPUTED_VALUE"""),"賴O淳")</f>
        <v>賴O淳</v>
      </c>
      <c r="C717" s="9" t="str">
        <f>IFERROR(__xludf.DUMMYFUNCTION("""COMPUTED_VALUE"""),"112*****@fyvs.tc.edu.tw")</f>
        <v>112*****@fyvs.tc.edu.tw</v>
      </c>
      <c r="D717" s="9" t="str">
        <f>IFERROR(__xludf.DUMMYFUNCTION("""COMPUTED_VALUE"""),"臺中市立豐原商業高級中等學校")</f>
        <v>臺中市立豐原商業高級中等學校</v>
      </c>
      <c r="E717" s="9" t="str">
        <f>IFERROR(__xludf.DUMMYFUNCTION("""COMPUTED_VALUE"""),"應英科")</f>
        <v>應英科</v>
      </c>
      <c r="F717" s="9" t="str">
        <f>IFERROR(__xludf.DUMMYFUNCTION("""COMPUTED_VALUE"""),"二年級")</f>
        <v>二年級</v>
      </c>
      <c r="G717" s="9" t="str">
        <f>IFERROR(__xludf.DUMMYFUNCTION("""COMPUTED_VALUE"""),"○商品卡$500")</f>
        <v>○商品卡$500</v>
      </c>
      <c r="H717" s="9"/>
    </row>
    <row r="718">
      <c r="A718" s="13" t="s">
        <v>11</v>
      </c>
      <c r="B718" s="9" t="str">
        <f>IFERROR(__xludf.DUMMYFUNCTION("""COMPUTED_VALUE"""),"楊O婷")</f>
        <v>楊O婷</v>
      </c>
      <c r="C718" s="9" t="str">
        <f>IFERROR(__xludf.DUMMYFUNCTION("""COMPUTED_VALUE"""),"112*****@fyvs.tc.edu.tw")</f>
        <v>112*****@fyvs.tc.edu.tw</v>
      </c>
      <c r="D718" s="9" t="str">
        <f>IFERROR(__xludf.DUMMYFUNCTION("""COMPUTED_VALUE"""),"臺中市立豐原商業高級中等學校")</f>
        <v>臺中市立豐原商業高級中等學校</v>
      </c>
      <c r="E718" s="9" t="str">
        <f>IFERROR(__xludf.DUMMYFUNCTION("""COMPUTED_VALUE"""),"應英科")</f>
        <v>應英科</v>
      </c>
      <c r="F718" s="9" t="str">
        <f>IFERROR(__xludf.DUMMYFUNCTION("""COMPUTED_VALUE"""),"三年級")</f>
        <v>三年級</v>
      </c>
      <c r="G718" s="9" t="str">
        <f>IFERROR(__xludf.DUMMYFUNCTION("""COMPUTED_VALUE"""),"○商品卡$500")</f>
        <v>○商品卡$500</v>
      </c>
      <c r="H718" s="9"/>
    </row>
    <row r="719">
      <c r="A719" s="13" t="s">
        <v>11</v>
      </c>
      <c r="B719" s="9" t="str">
        <f>IFERROR(__xludf.DUMMYFUNCTION("""COMPUTED_VALUE"""),"吳O臻")</f>
        <v>吳O臻</v>
      </c>
      <c r="C719" s="9" t="str">
        <f>IFERROR(__xludf.DUMMYFUNCTION("""COMPUTED_VALUE"""),"112*****@fyvs.tc.edu.tw")</f>
        <v>112*****@fyvs.tc.edu.tw</v>
      </c>
      <c r="D719" s="9" t="str">
        <f>IFERROR(__xludf.DUMMYFUNCTION("""COMPUTED_VALUE"""),"臺中市立豐原商業高級中等學校")</f>
        <v>臺中市立豐原商業高級中等學校</v>
      </c>
      <c r="E719" s="9" t="str">
        <f>IFERROR(__xludf.DUMMYFUNCTION("""COMPUTED_VALUE"""),"應英科")</f>
        <v>應英科</v>
      </c>
      <c r="F719" s="9" t="str">
        <f>IFERROR(__xludf.DUMMYFUNCTION("""COMPUTED_VALUE"""),"三年級")</f>
        <v>三年級</v>
      </c>
      <c r="G719" s="9" t="str">
        <f>IFERROR(__xludf.DUMMYFUNCTION("""COMPUTED_VALUE"""),"獎狀")</f>
        <v>獎狀</v>
      </c>
      <c r="H719" s="9"/>
    </row>
    <row r="720">
      <c r="A720" s="13" t="s">
        <v>11</v>
      </c>
      <c r="B720" s="9" t="str">
        <f>IFERROR(__xludf.DUMMYFUNCTION("""COMPUTED_VALUE"""),"林O鴻")</f>
        <v>林O鴻</v>
      </c>
      <c r="C720" s="9" t="str">
        <f>IFERROR(__xludf.DUMMYFUNCTION("""COMPUTED_VALUE"""),"112*****@fyvs.tc.edu.tw")</f>
        <v>112*****@fyvs.tc.edu.tw</v>
      </c>
      <c r="D720" s="9" t="str">
        <f>IFERROR(__xludf.DUMMYFUNCTION("""COMPUTED_VALUE"""),"臺中市立豐原商業高級中等學校")</f>
        <v>臺中市立豐原商業高級中等學校</v>
      </c>
      <c r="E720" s="9" t="str">
        <f>IFERROR(__xludf.DUMMYFUNCTION("""COMPUTED_VALUE"""),"應英科")</f>
        <v>應英科</v>
      </c>
      <c r="F720" s="9" t="str">
        <f>IFERROR(__xludf.DUMMYFUNCTION("""COMPUTED_VALUE"""),"三年級")</f>
        <v>三年級</v>
      </c>
      <c r="G720" s="9" t="str">
        <f>IFERROR(__xludf.DUMMYFUNCTION("""COMPUTED_VALUE"""),"獎狀")</f>
        <v>獎狀</v>
      </c>
      <c r="H720" s="9"/>
    </row>
    <row r="721">
      <c r="A721" s="13" t="s">
        <v>11</v>
      </c>
      <c r="B721" s="9" t="str">
        <f>IFERROR(__xludf.DUMMYFUNCTION("""COMPUTED_VALUE"""),"林O和")</f>
        <v>林O和</v>
      </c>
      <c r="C721" s="9" t="str">
        <f>IFERROR(__xludf.DUMMYFUNCTION("""COMPUTED_VALUE"""),"112*****@fyvs.tc.edu.tw")</f>
        <v>112*****@fyvs.tc.edu.tw</v>
      </c>
      <c r="D721" s="9" t="str">
        <f>IFERROR(__xludf.DUMMYFUNCTION("""COMPUTED_VALUE"""),"臺中市立豐原商業高級中等學校")</f>
        <v>臺中市立豐原商業高級中等學校</v>
      </c>
      <c r="E721" s="9" t="str">
        <f>IFERROR(__xludf.DUMMYFUNCTION("""COMPUTED_VALUE"""),"應英科")</f>
        <v>應英科</v>
      </c>
      <c r="F721" s="9" t="str">
        <f>IFERROR(__xludf.DUMMYFUNCTION("""COMPUTED_VALUE"""),"三年級")</f>
        <v>三年級</v>
      </c>
      <c r="G721" s="9" t="str">
        <f>IFERROR(__xludf.DUMMYFUNCTION("""COMPUTED_VALUE"""),"獎狀")</f>
        <v>獎狀</v>
      </c>
      <c r="H721" s="9"/>
    </row>
    <row r="722">
      <c r="A722" s="13" t="s">
        <v>11</v>
      </c>
      <c r="B722" s="9" t="str">
        <f>IFERROR(__xludf.DUMMYFUNCTION("""COMPUTED_VALUE"""),"童O庭")</f>
        <v>童O庭</v>
      </c>
      <c r="C722" s="9" t="str">
        <f>IFERROR(__xludf.DUMMYFUNCTION("""COMPUTED_VALUE"""),"112*****@fyvs.tc.edu.tw")</f>
        <v>112*****@fyvs.tc.edu.tw</v>
      </c>
      <c r="D722" s="9" t="str">
        <f>IFERROR(__xludf.DUMMYFUNCTION("""COMPUTED_VALUE"""),"臺中市立豐原商業高級中等學校")</f>
        <v>臺中市立豐原商業高級中等學校</v>
      </c>
      <c r="E722" s="9" t="str">
        <f>IFERROR(__xludf.DUMMYFUNCTION("""COMPUTED_VALUE"""),"應英科")</f>
        <v>應英科</v>
      </c>
      <c r="F722" s="9" t="str">
        <f>IFERROR(__xludf.DUMMYFUNCTION("""COMPUTED_VALUE"""),"三年級")</f>
        <v>三年級</v>
      </c>
      <c r="G722" s="9" t="str">
        <f>IFERROR(__xludf.DUMMYFUNCTION("""COMPUTED_VALUE"""),"獎狀")</f>
        <v>獎狀</v>
      </c>
      <c r="H722" s="9"/>
    </row>
    <row r="723">
      <c r="A723" s="13" t="s">
        <v>11</v>
      </c>
      <c r="B723" s="9" t="str">
        <f>IFERROR(__xludf.DUMMYFUNCTION("""COMPUTED_VALUE"""),"李O誼")</f>
        <v>李O誼</v>
      </c>
      <c r="C723" s="9" t="str">
        <f>IFERROR(__xludf.DUMMYFUNCTION("""COMPUTED_VALUE"""),"113*****@tsvs.tc.edu.tw")</f>
        <v>113*****@tsvs.tc.edu.tw</v>
      </c>
      <c r="D723" s="9" t="str">
        <f>IFERROR(__xludf.DUMMYFUNCTION("""COMPUTED_VALUE"""),"臺中市立東勢工業高級中等學校")</f>
        <v>臺中市立東勢工業高級中等學校</v>
      </c>
      <c r="E723" s="9" t="str">
        <f>IFERROR(__xludf.DUMMYFUNCTION("""COMPUTED_VALUE"""),"室內設計科")</f>
        <v>室內設計科</v>
      </c>
      <c r="F723" s="9" t="str">
        <f>IFERROR(__xludf.DUMMYFUNCTION("""COMPUTED_VALUE"""),"一年級")</f>
        <v>一年級</v>
      </c>
      <c r="G723" s="9" t="str">
        <f>IFERROR(__xludf.DUMMYFUNCTION("""COMPUTED_VALUE"""),"獎狀")</f>
        <v>獎狀</v>
      </c>
      <c r="H723" s="9"/>
    </row>
    <row r="724">
      <c r="A724" s="13" t="s">
        <v>11</v>
      </c>
      <c r="B724" s="9" t="str">
        <f>IFERROR(__xludf.DUMMYFUNCTION("""COMPUTED_VALUE"""),"杜O臻")</f>
        <v>杜O臻</v>
      </c>
      <c r="C724" s="9" t="str">
        <f>IFERROR(__xludf.DUMMYFUNCTION("""COMPUTED_VALUE"""),"113*****@tsvs.tc.edu.tw")</f>
        <v>113*****@tsvs.tc.edu.tw</v>
      </c>
      <c r="D724" s="9" t="str">
        <f>IFERROR(__xludf.DUMMYFUNCTION("""COMPUTED_VALUE"""),"臺中市立東勢工業高級中等學校")</f>
        <v>臺中市立東勢工業高級中等學校</v>
      </c>
      <c r="E724" s="9" t="str">
        <f>IFERROR(__xludf.DUMMYFUNCTION("""COMPUTED_VALUE"""),"室設科")</f>
        <v>室設科</v>
      </c>
      <c r="F724" s="9" t="str">
        <f>IFERROR(__xludf.DUMMYFUNCTION("""COMPUTED_VALUE"""),"二年級")</f>
        <v>二年級</v>
      </c>
      <c r="G724" s="9" t="str">
        <f>IFERROR(__xludf.DUMMYFUNCTION("""COMPUTED_VALUE"""),"獎狀")</f>
        <v>獎狀</v>
      </c>
      <c r="H724" s="9"/>
    </row>
    <row r="725">
      <c r="A725" s="13" t="s">
        <v>11</v>
      </c>
      <c r="B725" s="9" t="str">
        <f>IFERROR(__xludf.DUMMYFUNCTION("""COMPUTED_VALUE"""),"朱O妤")</f>
        <v>朱O妤</v>
      </c>
      <c r="C725" s="9" t="str">
        <f>IFERROR(__xludf.DUMMYFUNCTION("""COMPUTED_VALUE"""),"113*****@tsvs.tc.edu.tw")</f>
        <v>113*****@tsvs.tc.edu.tw</v>
      </c>
      <c r="D725" s="9" t="str">
        <f>IFERROR(__xludf.DUMMYFUNCTION("""COMPUTED_VALUE"""),"臺中市立東勢工業高級中等學校")</f>
        <v>臺中市立東勢工業高級中等學校</v>
      </c>
      <c r="E725" s="9" t="str">
        <f>IFERROR(__xludf.DUMMYFUNCTION("""COMPUTED_VALUE"""),"建築科")</f>
        <v>建築科</v>
      </c>
      <c r="F725" s="9" t="str">
        <f>IFERROR(__xludf.DUMMYFUNCTION("""COMPUTED_VALUE"""),"二年級")</f>
        <v>二年級</v>
      </c>
      <c r="G725" s="9" t="str">
        <f>IFERROR(__xludf.DUMMYFUNCTION("""COMPUTED_VALUE"""),"獎狀")</f>
        <v>獎狀</v>
      </c>
      <c r="H725" s="9"/>
    </row>
    <row r="726">
      <c r="A726" s="13" t="s">
        <v>11</v>
      </c>
      <c r="B726" s="9" t="str">
        <f>IFERROR(__xludf.DUMMYFUNCTION("""COMPUTED_VALUE"""),"詹O凱")</f>
        <v>詹O凱</v>
      </c>
      <c r="C726" s="9" t="str">
        <f>IFERROR(__xludf.DUMMYFUNCTION("""COMPUTED_VALUE"""),"113*****@tsvs.tc.edu.tw")</f>
        <v>113*****@tsvs.tc.edu.tw</v>
      </c>
      <c r="D726" s="9" t="str">
        <f>IFERROR(__xludf.DUMMYFUNCTION("""COMPUTED_VALUE"""),"臺中市立東勢工業高級中等學校")</f>
        <v>臺中市立東勢工業高級中等學校</v>
      </c>
      <c r="E726" s="9" t="str">
        <f>IFERROR(__xludf.DUMMYFUNCTION("""COMPUTED_VALUE"""),"建築科")</f>
        <v>建築科</v>
      </c>
      <c r="F726" s="9" t="str">
        <f>IFERROR(__xludf.DUMMYFUNCTION("""COMPUTED_VALUE"""),"二年級")</f>
        <v>二年級</v>
      </c>
      <c r="G726" s="9" t="str">
        <f>IFERROR(__xludf.DUMMYFUNCTION("""COMPUTED_VALUE"""),"獎狀")</f>
        <v>獎狀</v>
      </c>
      <c r="H726" s="9"/>
    </row>
    <row r="727">
      <c r="A727" s="13" t="s">
        <v>11</v>
      </c>
      <c r="B727" s="9" t="str">
        <f>IFERROR(__xludf.DUMMYFUNCTION("""COMPUTED_VALUE"""),"陳O筠")</f>
        <v>陳O筠</v>
      </c>
      <c r="C727" s="9" t="str">
        <f>IFERROR(__xludf.DUMMYFUNCTION("""COMPUTED_VALUE"""),"113*****@tsvs.tc.edu.tw")</f>
        <v>113*****@tsvs.tc.edu.tw</v>
      </c>
      <c r="D727" s="9" t="str">
        <f>IFERROR(__xludf.DUMMYFUNCTION("""COMPUTED_VALUE"""),"臺中市立東勢工業高級中等學校")</f>
        <v>臺中市立東勢工業高級中等學校</v>
      </c>
      <c r="E727" s="9" t="str">
        <f>IFERROR(__xludf.DUMMYFUNCTION("""COMPUTED_VALUE"""),"建築科")</f>
        <v>建築科</v>
      </c>
      <c r="F727" s="9" t="str">
        <f>IFERROR(__xludf.DUMMYFUNCTION("""COMPUTED_VALUE"""),"二年級")</f>
        <v>二年級</v>
      </c>
      <c r="G727" s="9" t="str">
        <f>IFERROR(__xludf.DUMMYFUNCTION("""COMPUTED_VALUE"""),"獎狀")</f>
        <v>獎狀</v>
      </c>
      <c r="H727" s="9"/>
    </row>
    <row r="728">
      <c r="A728" s="13" t="s">
        <v>11</v>
      </c>
      <c r="B728" s="9" t="str">
        <f>IFERROR(__xludf.DUMMYFUNCTION("""COMPUTED_VALUE"""),"尉O謙")</f>
        <v>尉O謙</v>
      </c>
      <c r="C728" s="9" t="str">
        <f>IFERROR(__xludf.DUMMYFUNCTION("""COMPUTED_VALUE"""),"ywe*****@gmail.com")</f>
        <v>ywe*****@gmail.com</v>
      </c>
      <c r="D728" s="9" t="str">
        <f>IFERROR(__xludf.DUMMYFUNCTION("""COMPUTED_VALUE"""),"臺中市立東勢工業高級中等學校")</f>
        <v>臺中市立東勢工業高級中等學校</v>
      </c>
      <c r="E728" s="9" t="str">
        <f>IFERROR(__xludf.DUMMYFUNCTION("""COMPUTED_VALUE"""),"建築科")</f>
        <v>建築科</v>
      </c>
      <c r="F728" s="9" t="str">
        <f>IFERROR(__xludf.DUMMYFUNCTION("""COMPUTED_VALUE"""),"二年級")</f>
        <v>二年級</v>
      </c>
      <c r="G728" s="9" t="str">
        <f>IFERROR(__xludf.DUMMYFUNCTION("""COMPUTED_VALUE"""),"○商品卡$500")</f>
        <v>○商品卡$500</v>
      </c>
      <c r="H728" s="9"/>
    </row>
    <row r="729">
      <c r="A729" s="13" t="s">
        <v>11</v>
      </c>
      <c r="B729" s="9" t="str">
        <f>IFERROR(__xludf.DUMMYFUNCTION("""COMPUTED_VALUE"""),"林O洋")</f>
        <v>林O洋</v>
      </c>
      <c r="C729" s="9" t="str">
        <f>IFERROR(__xludf.DUMMYFUNCTION("""COMPUTED_VALUE"""),"406*****t.tc.edu.tw")</f>
        <v>406*****t.tc.edu.tw</v>
      </c>
      <c r="D729" s="9" t="str">
        <f>IFERROR(__xludf.DUMMYFUNCTION("""COMPUTED_VALUE"""),"臺中市立神岡工業高級中等學校")</f>
        <v>臺中市立神岡工業高級中等學校</v>
      </c>
      <c r="E729" s="9" t="str">
        <f>IFERROR(__xludf.DUMMYFUNCTION("""COMPUTED_VALUE"""),"機械科")</f>
        <v>機械科</v>
      </c>
      <c r="F729" s="9" t="str">
        <f>IFERROR(__xludf.DUMMYFUNCTION("""COMPUTED_VALUE"""),"一年級")</f>
        <v>一年級</v>
      </c>
      <c r="G729" s="9" t="str">
        <f>IFERROR(__xludf.DUMMYFUNCTION("""COMPUTED_VALUE"""),"獎狀")</f>
        <v>獎狀</v>
      </c>
      <c r="H729" s="9"/>
    </row>
    <row r="730">
      <c r="A730" s="13" t="s">
        <v>11</v>
      </c>
      <c r="B730" s="9" t="str">
        <f>IFERROR(__xludf.DUMMYFUNCTION("""COMPUTED_VALUE"""),"張O愉")</f>
        <v>張O愉</v>
      </c>
      <c r="C730" s="9" t="str">
        <f>IFERROR(__xludf.DUMMYFUNCTION("""COMPUTED_VALUE"""),"304*****t.tc.edu.tw")</f>
        <v>304*****t.tc.edu.tw</v>
      </c>
      <c r="D730" s="9" t="str">
        <f>IFERROR(__xludf.DUMMYFUNCTION("""COMPUTED_VALUE"""),"臺中市立神岡工業高級中等學校")</f>
        <v>臺中市立神岡工業高級中等學校</v>
      </c>
      <c r="E730" s="9" t="str">
        <f>IFERROR(__xludf.DUMMYFUNCTION("""COMPUTED_VALUE"""),"機械科")</f>
        <v>機械科</v>
      </c>
      <c r="F730" s="9" t="str">
        <f>IFERROR(__xludf.DUMMYFUNCTION("""COMPUTED_VALUE"""),"二年級")</f>
        <v>二年級</v>
      </c>
      <c r="G730" s="9" t="str">
        <f>IFERROR(__xludf.DUMMYFUNCTION("""COMPUTED_VALUE"""),"獎狀")</f>
        <v>獎狀</v>
      </c>
      <c r="H730" s="9"/>
    </row>
    <row r="731">
      <c r="A731" s="13" t="s">
        <v>11</v>
      </c>
      <c r="B731" s="9" t="str">
        <f>IFERROR(__xludf.DUMMYFUNCTION("""COMPUTED_VALUE"""),"陳O佑")</f>
        <v>陳O佑</v>
      </c>
      <c r="C731" s="9" t="str">
        <f>IFERROR(__xludf.DUMMYFUNCTION("""COMPUTED_VALUE"""),"303*****t.tc.edu.tw")</f>
        <v>303*****t.tc.edu.tw</v>
      </c>
      <c r="D731" s="9" t="str">
        <f>IFERROR(__xludf.DUMMYFUNCTION("""COMPUTED_VALUE"""),"臺中市立神岡工業高級中等學校")</f>
        <v>臺中市立神岡工業高級中等學校</v>
      </c>
      <c r="E731" s="9" t="str">
        <f>IFERROR(__xludf.DUMMYFUNCTION("""COMPUTED_VALUE"""),"機械科")</f>
        <v>機械科</v>
      </c>
      <c r="F731" s="9" t="str">
        <f>IFERROR(__xludf.DUMMYFUNCTION("""COMPUTED_VALUE"""),"二年級")</f>
        <v>二年級</v>
      </c>
      <c r="G731" s="9" t="str">
        <f>IFERROR(__xludf.DUMMYFUNCTION("""COMPUTED_VALUE"""),"獎狀")</f>
        <v>獎狀</v>
      </c>
      <c r="H731" s="9"/>
    </row>
    <row r="732">
      <c r="A732" s="13" t="s">
        <v>11</v>
      </c>
      <c r="B732" s="9" t="str">
        <f>IFERROR(__xludf.DUMMYFUNCTION("""COMPUTED_VALUE"""),"陳O祺")</f>
        <v>陳O祺</v>
      </c>
      <c r="C732" s="9" t="str">
        <f>IFERROR(__xludf.DUMMYFUNCTION("""COMPUTED_VALUE"""),"a09*****007@gmail.com")</f>
        <v>a09*****007@gmail.com</v>
      </c>
      <c r="D732" s="9" t="str">
        <f>IFERROR(__xludf.DUMMYFUNCTION("""COMPUTED_VALUE"""),"國立彰化師範大學附屬高級工業職業學校")</f>
        <v>國立彰化師範大學附屬高級工業職業學校</v>
      </c>
      <c r="E732" s="9" t="str">
        <f>IFERROR(__xludf.DUMMYFUNCTION("""COMPUTED_VALUE"""),"機械科")</f>
        <v>機械科</v>
      </c>
      <c r="F732" s="9" t="str">
        <f>IFERROR(__xludf.DUMMYFUNCTION("""COMPUTED_VALUE"""),"二年級")</f>
        <v>二年級</v>
      </c>
      <c r="G732" s="9" t="str">
        <f>IFERROR(__xludf.DUMMYFUNCTION("""COMPUTED_VALUE"""),"獎狀")</f>
        <v>獎狀</v>
      </c>
      <c r="H732" s="9"/>
    </row>
    <row r="733">
      <c r="A733" s="13" t="s">
        <v>11</v>
      </c>
      <c r="B733" s="9" t="str">
        <f>IFERROR(__xludf.DUMMYFUNCTION("""COMPUTED_VALUE"""),"黃O云")</f>
        <v>黃O云</v>
      </c>
      <c r="C733" s="9" t="str">
        <f>IFERROR(__xludf.DUMMYFUNCTION("""COMPUTED_VALUE"""),"kai*****ang0628@gmail.com")</f>
        <v>kai*****ang0628@gmail.com</v>
      </c>
      <c r="D733" s="9" t="str">
        <f>IFERROR(__xludf.DUMMYFUNCTION("""COMPUTED_VALUE"""),"國立彰化師範大學附屬高級工業職業學校")</f>
        <v>國立彰化師範大學附屬高級工業職業學校</v>
      </c>
      <c r="E733" s="9" t="str">
        <f>IFERROR(__xludf.DUMMYFUNCTION("""COMPUTED_VALUE"""),"機械科")</f>
        <v>機械科</v>
      </c>
      <c r="F733" s="9" t="str">
        <f>IFERROR(__xludf.DUMMYFUNCTION("""COMPUTED_VALUE"""),"二年級")</f>
        <v>二年級</v>
      </c>
      <c r="G733" s="9" t="str">
        <f>IFERROR(__xludf.DUMMYFUNCTION("""COMPUTED_VALUE"""),"獎狀")</f>
        <v>獎狀</v>
      </c>
      <c r="H733" s="9"/>
    </row>
    <row r="734">
      <c r="A734" s="13" t="s">
        <v>11</v>
      </c>
      <c r="B734" s="9" t="str">
        <f>IFERROR(__xludf.DUMMYFUNCTION("""COMPUTED_VALUE"""),"謝O潔")</f>
        <v>謝O潔</v>
      </c>
      <c r="C734" s="9" t="str">
        <f>IFERROR(__xludf.DUMMYFUNCTION("""COMPUTED_VALUE"""),"tha*****l20090508@gmail.com")</f>
        <v>tha*****l20090508@gmail.com</v>
      </c>
      <c r="D734" s="9" t="str">
        <f>IFERROR(__xludf.DUMMYFUNCTION("""COMPUTED_VALUE"""),"國立彰化師範大學附屬高級工業職業學校")</f>
        <v>國立彰化師範大學附屬高級工業職業學校</v>
      </c>
      <c r="E734" s="9" t="str">
        <f>IFERROR(__xludf.DUMMYFUNCTION("""COMPUTED_VALUE"""),"機械科")</f>
        <v>機械科</v>
      </c>
      <c r="F734" s="9" t="str">
        <f>IFERROR(__xludf.DUMMYFUNCTION("""COMPUTED_VALUE"""),"二年級")</f>
        <v>二年級</v>
      </c>
      <c r="G734" s="9" t="str">
        <f>IFERROR(__xludf.DUMMYFUNCTION("""COMPUTED_VALUE"""),"獎狀")</f>
        <v>獎狀</v>
      </c>
      <c r="H734" s="9"/>
    </row>
    <row r="735">
      <c r="A735" s="13" t="s">
        <v>11</v>
      </c>
      <c r="B735" s="9" t="str">
        <f>IFERROR(__xludf.DUMMYFUNCTION("""COMPUTED_VALUE"""),"陳O錡")</f>
        <v>陳O錡</v>
      </c>
      <c r="C735" s="9" t="str">
        <f>IFERROR(__xludf.DUMMYFUNCTION("""COMPUTED_VALUE"""),"wk2*****61@gmail.com")</f>
        <v>wk2*****61@gmail.com</v>
      </c>
      <c r="D735" s="9" t="str">
        <f>IFERROR(__xludf.DUMMYFUNCTION("""COMPUTED_VALUE"""),"國立彰化師範大學附屬高級工業職業學校")</f>
        <v>國立彰化師範大學附屬高級工業職業學校</v>
      </c>
      <c r="E735" s="9" t="str">
        <f>IFERROR(__xludf.DUMMYFUNCTION("""COMPUTED_VALUE"""),"機械科")</f>
        <v>機械科</v>
      </c>
      <c r="F735" s="9" t="str">
        <f>IFERROR(__xludf.DUMMYFUNCTION("""COMPUTED_VALUE"""),"二年級")</f>
        <v>二年級</v>
      </c>
      <c r="G735" s="9" t="str">
        <f>IFERROR(__xludf.DUMMYFUNCTION("""COMPUTED_VALUE"""),"★商品卡$1000")</f>
        <v>★商品卡$1000</v>
      </c>
      <c r="H735" s="9"/>
    </row>
    <row r="736">
      <c r="A736" s="13" t="s">
        <v>11</v>
      </c>
      <c r="B736" s="9" t="str">
        <f>IFERROR(__xludf.DUMMYFUNCTION("""COMPUTED_VALUE"""),"黃O程")</f>
        <v>黃O程</v>
      </c>
      <c r="C736" s="9" t="str">
        <f>IFERROR(__xludf.DUMMYFUNCTION("""COMPUTED_VALUE"""),"gua*****gh52@gmail.com")</f>
        <v>gua*****gh52@gmail.com</v>
      </c>
      <c r="D736" s="9" t="str">
        <f>IFERROR(__xludf.DUMMYFUNCTION("""COMPUTED_VALUE"""),"國立彰化師範大學附屬高級工業職業學校")</f>
        <v>國立彰化師範大學附屬高級工業職業學校</v>
      </c>
      <c r="E736" s="9" t="str">
        <f>IFERROR(__xludf.DUMMYFUNCTION("""COMPUTED_VALUE"""),"機械科")</f>
        <v>機械科</v>
      </c>
      <c r="F736" s="9" t="str">
        <f>IFERROR(__xludf.DUMMYFUNCTION("""COMPUTED_VALUE"""),"二年級")</f>
        <v>二年級</v>
      </c>
      <c r="G736" s="9" t="str">
        <f>IFERROR(__xludf.DUMMYFUNCTION("""COMPUTED_VALUE"""),"獎狀")</f>
        <v>獎狀</v>
      </c>
      <c r="H736" s="9"/>
    </row>
    <row r="737">
      <c r="A737" s="13" t="s">
        <v>11</v>
      </c>
      <c r="B737" s="9" t="str">
        <f>IFERROR(__xludf.DUMMYFUNCTION("""COMPUTED_VALUE"""),"張O誠")</f>
        <v>張O誠</v>
      </c>
      <c r="C737" s="9" t="str">
        <f>IFERROR(__xludf.DUMMYFUNCTION("""COMPUTED_VALUE"""),"xgt*****@gmail.com")</f>
        <v>xgt*****@gmail.com</v>
      </c>
      <c r="D737" s="9" t="str">
        <f>IFERROR(__xludf.DUMMYFUNCTION("""COMPUTED_VALUE"""),"國立彰化師範大學附屬高級工業職業學校")</f>
        <v>國立彰化師範大學附屬高級工業職業學校</v>
      </c>
      <c r="E737" s="9" t="str">
        <f>IFERROR(__xludf.DUMMYFUNCTION("""COMPUTED_VALUE"""),"機械科")</f>
        <v>機械科</v>
      </c>
      <c r="F737" s="9" t="str">
        <f>IFERROR(__xludf.DUMMYFUNCTION("""COMPUTED_VALUE"""),"二年級")</f>
        <v>二年級</v>
      </c>
      <c r="G737" s="9" t="str">
        <f>IFERROR(__xludf.DUMMYFUNCTION("""COMPUTED_VALUE"""),"獎狀")</f>
        <v>獎狀</v>
      </c>
      <c r="H737" s="9"/>
    </row>
    <row r="738">
      <c r="A738" s="13" t="s">
        <v>11</v>
      </c>
      <c r="B738" s="9" t="str">
        <f>IFERROR(__xludf.DUMMYFUNCTION("""COMPUTED_VALUE"""),"陳O澄")</f>
        <v>陳O澄</v>
      </c>
      <c r="C738" s="9" t="str">
        <f>IFERROR(__xludf.DUMMYFUNCTION("""COMPUTED_VALUE"""),"lit*****26@gmail.com")</f>
        <v>lit*****26@gmail.com</v>
      </c>
      <c r="D738" s="9" t="str">
        <f>IFERROR(__xludf.DUMMYFUNCTION("""COMPUTED_VALUE"""),"國立彰化師範大學附屬高級工業職業學校")</f>
        <v>國立彰化師範大學附屬高級工業職業學校</v>
      </c>
      <c r="E738" s="9" t="str">
        <f>IFERROR(__xludf.DUMMYFUNCTION("""COMPUTED_VALUE"""),"機械科")</f>
        <v>機械科</v>
      </c>
      <c r="F738" s="9" t="str">
        <f>IFERROR(__xludf.DUMMYFUNCTION("""COMPUTED_VALUE"""),"二年級")</f>
        <v>二年級</v>
      </c>
      <c r="G738" s="9" t="str">
        <f>IFERROR(__xludf.DUMMYFUNCTION("""COMPUTED_VALUE"""),"獎狀")</f>
        <v>獎狀</v>
      </c>
      <c r="H738" s="9"/>
    </row>
    <row r="739">
      <c r="A739" s="13" t="s">
        <v>11</v>
      </c>
      <c r="B739" s="9" t="str">
        <f>IFERROR(__xludf.DUMMYFUNCTION("""COMPUTED_VALUE"""),"謝O靚")</f>
        <v>謝O靚</v>
      </c>
      <c r="C739" s="9" t="str">
        <f>IFERROR(__xludf.DUMMYFUNCTION("""COMPUTED_VALUE"""),"gin*****73@gmail.com")</f>
        <v>gin*****73@gmail.com</v>
      </c>
      <c r="D739" s="9" t="str">
        <f>IFERROR(__xludf.DUMMYFUNCTION("""COMPUTED_VALUE"""),"國立彰化師範大學附屬高級工業職業學校")</f>
        <v>國立彰化師範大學附屬高級工業職業學校</v>
      </c>
      <c r="E739" s="9" t="str">
        <f>IFERROR(__xludf.DUMMYFUNCTION("""COMPUTED_VALUE"""),"機械科")</f>
        <v>機械科</v>
      </c>
      <c r="F739" s="9" t="str">
        <f>IFERROR(__xludf.DUMMYFUNCTION("""COMPUTED_VALUE"""),"二年級")</f>
        <v>二年級</v>
      </c>
      <c r="G739" s="9" t="str">
        <f>IFERROR(__xludf.DUMMYFUNCTION("""COMPUTED_VALUE"""),"獎狀")</f>
        <v>獎狀</v>
      </c>
      <c r="H739" s="9"/>
    </row>
    <row r="740">
      <c r="A740" s="13" t="s">
        <v>11</v>
      </c>
      <c r="B740" s="9" t="str">
        <f>IFERROR(__xludf.DUMMYFUNCTION("""COMPUTED_VALUE"""),"曾O筌")</f>
        <v>曾O筌</v>
      </c>
      <c r="C740" s="9" t="str">
        <f>IFERROR(__xludf.DUMMYFUNCTION("""COMPUTED_VALUE"""),"chu*****625@gmail.com")</f>
        <v>chu*****625@gmail.com</v>
      </c>
      <c r="D740" s="9" t="str">
        <f>IFERROR(__xludf.DUMMYFUNCTION("""COMPUTED_VALUE"""),"國立彰化師範大學附屬高級工業職業學校")</f>
        <v>國立彰化師範大學附屬高級工業職業學校</v>
      </c>
      <c r="E740" s="9" t="str">
        <f>IFERROR(__xludf.DUMMYFUNCTION("""COMPUTED_VALUE"""),"機械科")</f>
        <v>機械科</v>
      </c>
      <c r="F740" s="9" t="str">
        <f>IFERROR(__xludf.DUMMYFUNCTION("""COMPUTED_VALUE"""),"二年級")</f>
        <v>二年級</v>
      </c>
      <c r="G740" s="9" t="str">
        <f>IFERROR(__xludf.DUMMYFUNCTION("""COMPUTED_VALUE"""),"■商品卡$200")</f>
        <v>■商品卡$200</v>
      </c>
      <c r="H740" s="9"/>
    </row>
    <row r="741">
      <c r="A741" s="13" t="s">
        <v>11</v>
      </c>
      <c r="B741" s="9" t="str">
        <f>IFERROR(__xludf.DUMMYFUNCTION("""COMPUTED_VALUE"""),"李O銓")</f>
        <v>李O銓</v>
      </c>
      <c r="C741" s="9" t="str">
        <f>IFERROR(__xludf.DUMMYFUNCTION("""COMPUTED_VALUE"""),"cha*****24@gmail.com")</f>
        <v>cha*****24@gmail.com</v>
      </c>
      <c r="D741" s="9" t="str">
        <f>IFERROR(__xludf.DUMMYFUNCTION("""COMPUTED_VALUE"""),"國立彰化師範大學附屬高級工業職業學校")</f>
        <v>國立彰化師範大學附屬高級工業職業學校</v>
      </c>
      <c r="E741" s="9" t="str">
        <f>IFERROR(__xludf.DUMMYFUNCTION("""COMPUTED_VALUE"""),"機械科")</f>
        <v>機械科</v>
      </c>
      <c r="F741" s="9" t="str">
        <f>IFERROR(__xludf.DUMMYFUNCTION("""COMPUTED_VALUE"""),"二年級")</f>
        <v>二年級</v>
      </c>
      <c r="G741" s="9" t="str">
        <f>IFERROR(__xludf.DUMMYFUNCTION("""COMPUTED_VALUE"""),"獎狀")</f>
        <v>獎狀</v>
      </c>
      <c r="H741" s="9"/>
    </row>
    <row r="742">
      <c r="A742" s="13" t="s">
        <v>11</v>
      </c>
      <c r="B742" s="9" t="str">
        <f>IFERROR(__xludf.DUMMYFUNCTION("""COMPUTED_VALUE"""),"歐O")</f>
        <v>歐O</v>
      </c>
      <c r="C742" s="9" t="str">
        <f>IFERROR(__xludf.DUMMYFUNCTION("""COMPUTED_VALUE"""),"amy*****37@gmail.com")</f>
        <v>amy*****37@gmail.com</v>
      </c>
      <c r="D742" s="9" t="str">
        <f>IFERROR(__xludf.DUMMYFUNCTION("""COMPUTED_VALUE"""),"國立彰化師範大學附屬高級工業職業學校")</f>
        <v>國立彰化師範大學附屬高級工業職業學校</v>
      </c>
      <c r="E742" s="9" t="str">
        <f>IFERROR(__xludf.DUMMYFUNCTION("""COMPUTED_VALUE"""),"機電科")</f>
        <v>機電科</v>
      </c>
      <c r="F742" s="9" t="str">
        <f>IFERROR(__xludf.DUMMYFUNCTION("""COMPUTED_VALUE"""),"二年級")</f>
        <v>二年級</v>
      </c>
      <c r="G742" s="9" t="str">
        <f>IFERROR(__xludf.DUMMYFUNCTION("""COMPUTED_VALUE"""),"獎狀")</f>
        <v>獎狀</v>
      </c>
      <c r="H742" s="9"/>
    </row>
    <row r="743">
      <c r="A743" s="13" t="s">
        <v>11</v>
      </c>
      <c r="B743" s="9" t="str">
        <f>IFERROR(__xludf.DUMMYFUNCTION("""COMPUTED_VALUE"""),"李O秝")</f>
        <v>李O秝</v>
      </c>
      <c r="C743" s="9" t="str">
        <f>IFERROR(__xludf.DUMMYFUNCTION("""COMPUTED_VALUE"""),"lit*****139@gmail.com")</f>
        <v>lit*****139@gmail.com</v>
      </c>
      <c r="D743" s="9" t="str">
        <f>IFERROR(__xludf.DUMMYFUNCTION("""COMPUTED_VALUE"""),"國立彰化高級商業職業學校")</f>
        <v>國立彰化高級商業職業學校</v>
      </c>
      <c r="E743" s="9" t="str">
        <f>IFERROR(__xludf.DUMMYFUNCTION("""COMPUTED_VALUE"""),"商業經營")</f>
        <v>商業經營</v>
      </c>
      <c r="F743" s="9" t="str">
        <f>IFERROR(__xludf.DUMMYFUNCTION("""COMPUTED_VALUE"""),"二年級")</f>
        <v>二年級</v>
      </c>
      <c r="G743" s="9" t="str">
        <f>IFERROR(__xludf.DUMMYFUNCTION("""COMPUTED_VALUE"""),"獎狀")</f>
        <v>獎狀</v>
      </c>
      <c r="H743" s="9"/>
    </row>
    <row r="744">
      <c r="A744" s="13" t="s">
        <v>11</v>
      </c>
      <c r="B744" s="9" t="str">
        <f>IFERROR(__xludf.DUMMYFUNCTION("""COMPUTED_VALUE"""),"林O妤")</f>
        <v>林O妤</v>
      </c>
      <c r="C744" s="9" t="str">
        <f>IFERROR(__xludf.DUMMYFUNCTION("""COMPUTED_VALUE"""),"zli*****@gmail.com")</f>
        <v>zli*****@gmail.com</v>
      </c>
      <c r="D744" s="9" t="str">
        <f>IFERROR(__xludf.DUMMYFUNCTION("""COMPUTED_VALUE"""),"國立彰化高級商業職業學校")</f>
        <v>國立彰化高級商業職業學校</v>
      </c>
      <c r="E744" s="9" t="str">
        <f>IFERROR(__xludf.DUMMYFUNCTION("""COMPUTED_VALUE"""),"商業經營科")</f>
        <v>商業經營科</v>
      </c>
      <c r="F744" s="9" t="str">
        <f>IFERROR(__xludf.DUMMYFUNCTION("""COMPUTED_VALUE"""),"二年級")</f>
        <v>二年級</v>
      </c>
      <c r="G744" s="9" t="str">
        <f>IFERROR(__xludf.DUMMYFUNCTION("""COMPUTED_VALUE"""),"獎狀")</f>
        <v>獎狀</v>
      </c>
      <c r="H744" s="9"/>
    </row>
    <row r="745">
      <c r="A745" s="13" t="s">
        <v>11</v>
      </c>
      <c r="B745" s="9" t="str">
        <f>IFERROR(__xludf.DUMMYFUNCTION("""COMPUTED_VALUE"""),"王O俐")</f>
        <v>王O俐</v>
      </c>
      <c r="C745" s="9" t="str">
        <f>IFERROR(__xludf.DUMMYFUNCTION("""COMPUTED_VALUE"""),"kel*****7@mail.edu.tw")</f>
        <v>kel*****7@mail.edu.tw</v>
      </c>
      <c r="D745" s="9" t="str">
        <f>IFERROR(__xludf.DUMMYFUNCTION("""COMPUTED_VALUE"""),"國立彰化高級商業職業學校")</f>
        <v>國立彰化高級商業職業學校</v>
      </c>
      <c r="E745" s="9" t="str">
        <f>IFERROR(__xludf.DUMMYFUNCTION("""COMPUTED_VALUE"""),"應英科")</f>
        <v>應英科</v>
      </c>
      <c r="F745" s="9" t="str">
        <f>IFERROR(__xludf.DUMMYFUNCTION("""COMPUTED_VALUE"""),"二年級")</f>
        <v>二年級</v>
      </c>
      <c r="G745" s="9" t="str">
        <f>IFERROR(__xludf.DUMMYFUNCTION("""COMPUTED_VALUE"""),"獎狀")</f>
        <v>獎狀</v>
      </c>
      <c r="H745" s="9"/>
    </row>
    <row r="746">
      <c r="A746" s="13" t="s">
        <v>11</v>
      </c>
      <c r="B746" s="9" t="str">
        <f>IFERROR(__xludf.DUMMYFUNCTION("""COMPUTED_VALUE"""),"汪O蓁")</f>
        <v>汪O蓁</v>
      </c>
      <c r="C746" s="9" t="str">
        <f>IFERROR(__xludf.DUMMYFUNCTION("""COMPUTED_VALUE"""),"113*****@ylhc.tw")</f>
        <v>113*****@ylhc.tw</v>
      </c>
      <c r="D746" s="9" t="str">
        <f>IFERROR(__xludf.DUMMYFUNCTION("""COMPUTED_VALUE"""),"國立員林高級家事商業職業學校")</f>
        <v>國立員林高級家事商業職業學校</v>
      </c>
      <c r="E746" s="9" t="str">
        <f>IFERROR(__xludf.DUMMYFUNCTION("""COMPUTED_VALUE"""),"國貿科")</f>
        <v>國貿科</v>
      </c>
      <c r="F746" s="9" t="str">
        <f>IFERROR(__xludf.DUMMYFUNCTION("""COMPUTED_VALUE"""),"二年級")</f>
        <v>二年級</v>
      </c>
      <c r="G746" s="9" t="str">
        <f>IFERROR(__xludf.DUMMYFUNCTION("""COMPUTED_VALUE"""),"獎狀")</f>
        <v>獎狀</v>
      </c>
      <c r="H746" s="9"/>
    </row>
    <row r="747">
      <c r="A747" s="13" t="s">
        <v>11</v>
      </c>
      <c r="B747" s="9" t="str">
        <f>IFERROR(__xludf.DUMMYFUNCTION("""COMPUTED_VALUE"""),"許O欣")</f>
        <v>許O欣</v>
      </c>
      <c r="C747" s="9" t="str">
        <f>IFERROR(__xludf.DUMMYFUNCTION("""COMPUTED_VALUE"""),"113*****@ylhc.tw")</f>
        <v>113*****@ylhc.tw</v>
      </c>
      <c r="D747" s="9" t="str">
        <f>IFERROR(__xludf.DUMMYFUNCTION("""COMPUTED_VALUE"""),"國立員林高級家事商業職業學校")</f>
        <v>國立員林高級家事商業職業學校</v>
      </c>
      <c r="E747" s="9" t="str">
        <f>IFERROR(__xludf.DUMMYFUNCTION("""COMPUTED_VALUE"""),"國貿科")</f>
        <v>國貿科</v>
      </c>
      <c r="F747" s="9" t="str">
        <f>IFERROR(__xludf.DUMMYFUNCTION("""COMPUTED_VALUE"""),"二年級")</f>
        <v>二年級</v>
      </c>
      <c r="G747" s="9" t="str">
        <f>IFERROR(__xludf.DUMMYFUNCTION("""COMPUTED_VALUE"""),"獎狀")</f>
        <v>獎狀</v>
      </c>
      <c r="H747" s="9"/>
    </row>
    <row r="748">
      <c r="A748" s="13" t="s">
        <v>11</v>
      </c>
      <c r="B748" s="9" t="str">
        <f>IFERROR(__xludf.DUMMYFUNCTION("""COMPUTED_VALUE"""),"黃O軒")</f>
        <v>黃O軒</v>
      </c>
      <c r="C748" s="9" t="str">
        <f>IFERROR(__xludf.DUMMYFUNCTION("""COMPUTED_VALUE"""),"113*****@ylhc.tw")</f>
        <v>113*****@ylhc.tw</v>
      </c>
      <c r="D748" s="9" t="str">
        <f>IFERROR(__xludf.DUMMYFUNCTION("""COMPUTED_VALUE"""),"國立員林高級家事商業職業學校")</f>
        <v>國立員林高級家事商業職業學校</v>
      </c>
      <c r="E748" s="9" t="str">
        <f>IFERROR(__xludf.DUMMYFUNCTION("""COMPUTED_VALUE"""),"國貿科")</f>
        <v>國貿科</v>
      </c>
      <c r="F748" s="9" t="str">
        <f>IFERROR(__xludf.DUMMYFUNCTION("""COMPUTED_VALUE"""),"二年級")</f>
        <v>二年級</v>
      </c>
      <c r="G748" s="9" t="str">
        <f>IFERROR(__xludf.DUMMYFUNCTION("""COMPUTED_VALUE"""),"獎狀")</f>
        <v>獎狀</v>
      </c>
      <c r="H748" s="9"/>
    </row>
    <row r="749">
      <c r="A749" s="13" t="s">
        <v>11</v>
      </c>
      <c r="B749" s="9" t="str">
        <f>IFERROR(__xludf.DUMMYFUNCTION("""COMPUTED_VALUE"""),"姚O諺")</f>
        <v>姚O諺</v>
      </c>
      <c r="C749" s="9" t="str">
        <f>IFERROR(__xludf.DUMMYFUNCTION("""COMPUTED_VALUE"""),"113*****@ylhc.tw")</f>
        <v>113*****@ylhc.tw</v>
      </c>
      <c r="D749" s="9" t="str">
        <f>IFERROR(__xludf.DUMMYFUNCTION("""COMPUTED_VALUE"""),"國立員林高級家事商業職業學校")</f>
        <v>國立員林高級家事商業職業學校</v>
      </c>
      <c r="E749" s="9" t="str">
        <f>IFERROR(__xludf.DUMMYFUNCTION("""COMPUTED_VALUE"""),"國貿科")</f>
        <v>國貿科</v>
      </c>
      <c r="F749" s="9" t="str">
        <f>IFERROR(__xludf.DUMMYFUNCTION("""COMPUTED_VALUE"""),"二年級")</f>
        <v>二年級</v>
      </c>
      <c r="G749" s="9" t="str">
        <f>IFERROR(__xludf.DUMMYFUNCTION("""COMPUTED_VALUE"""),"■商品卡$200")</f>
        <v>■商品卡$200</v>
      </c>
      <c r="H749" s="9"/>
    </row>
    <row r="750">
      <c r="A750" s="13" t="s">
        <v>11</v>
      </c>
      <c r="B750" s="9" t="str">
        <f>IFERROR(__xludf.DUMMYFUNCTION("""COMPUTED_VALUE"""),"曹O紘")</f>
        <v>曹O紘</v>
      </c>
      <c r="C750" s="9" t="str">
        <f>IFERROR(__xludf.DUMMYFUNCTION("""COMPUTED_VALUE"""),"113*****@ylhc.tw")</f>
        <v>113*****@ylhc.tw</v>
      </c>
      <c r="D750" s="9" t="str">
        <f>IFERROR(__xludf.DUMMYFUNCTION("""COMPUTED_VALUE"""),"國立員林高級家事商業職業學校")</f>
        <v>國立員林高級家事商業職業學校</v>
      </c>
      <c r="E750" s="9" t="str">
        <f>IFERROR(__xludf.DUMMYFUNCTION("""COMPUTED_VALUE"""),"國貿科")</f>
        <v>國貿科</v>
      </c>
      <c r="F750" s="9" t="str">
        <f>IFERROR(__xludf.DUMMYFUNCTION("""COMPUTED_VALUE"""),"二年級")</f>
        <v>二年級</v>
      </c>
      <c r="G750" s="9" t="str">
        <f>IFERROR(__xludf.DUMMYFUNCTION("""COMPUTED_VALUE"""),"獎狀")</f>
        <v>獎狀</v>
      </c>
      <c r="H750" s="9"/>
    </row>
    <row r="751">
      <c r="A751" s="13" t="s">
        <v>11</v>
      </c>
      <c r="B751" s="9" t="str">
        <f>IFERROR(__xludf.DUMMYFUNCTION("""COMPUTED_VALUE"""),"吳O璇")</f>
        <v>吳O璇</v>
      </c>
      <c r="C751" s="9" t="str">
        <f>IFERROR(__xludf.DUMMYFUNCTION("""COMPUTED_VALUE"""),"113*****@ylhc.tw")</f>
        <v>113*****@ylhc.tw</v>
      </c>
      <c r="D751" s="9" t="str">
        <f>IFERROR(__xludf.DUMMYFUNCTION("""COMPUTED_VALUE"""),"國立員林高級家事商業職業學校")</f>
        <v>國立員林高級家事商業職業學校</v>
      </c>
      <c r="E751" s="9" t="str">
        <f>IFERROR(__xludf.DUMMYFUNCTION("""COMPUTED_VALUE"""),"國貿科")</f>
        <v>國貿科</v>
      </c>
      <c r="F751" s="9" t="str">
        <f>IFERROR(__xludf.DUMMYFUNCTION("""COMPUTED_VALUE"""),"二年級")</f>
        <v>二年級</v>
      </c>
      <c r="G751" s="9" t="str">
        <f>IFERROR(__xludf.DUMMYFUNCTION("""COMPUTED_VALUE"""),"獎狀")</f>
        <v>獎狀</v>
      </c>
      <c r="H751" s="9"/>
    </row>
    <row r="752">
      <c r="A752" s="13" t="s">
        <v>11</v>
      </c>
      <c r="B752" s="9" t="str">
        <f>IFERROR(__xludf.DUMMYFUNCTION("""COMPUTED_VALUE"""),"李O姸")</f>
        <v>李O姸</v>
      </c>
      <c r="C752" s="9" t="str">
        <f>IFERROR(__xludf.DUMMYFUNCTION("""COMPUTED_VALUE"""),"113*****@ylhc.tw")</f>
        <v>113*****@ylhc.tw</v>
      </c>
      <c r="D752" s="9" t="str">
        <f>IFERROR(__xludf.DUMMYFUNCTION("""COMPUTED_VALUE"""),"國立員林高級家事商業職業學校")</f>
        <v>國立員林高級家事商業職業學校</v>
      </c>
      <c r="E752" s="9" t="str">
        <f>IFERROR(__xludf.DUMMYFUNCTION("""COMPUTED_VALUE"""),"國貿科")</f>
        <v>國貿科</v>
      </c>
      <c r="F752" s="9" t="str">
        <f>IFERROR(__xludf.DUMMYFUNCTION("""COMPUTED_VALUE"""),"二年級")</f>
        <v>二年級</v>
      </c>
      <c r="G752" s="9" t="str">
        <f>IFERROR(__xludf.DUMMYFUNCTION("""COMPUTED_VALUE"""),"獎狀")</f>
        <v>獎狀</v>
      </c>
      <c r="H752" s="9"/>
    </row>
    <row r="753">
      <c r="A753" s="13" t="s">
        <v>11</v>
      </c>
      <c r="B753" s="9" t="str">
        <f>IFERROR(__xludf.DUMMYFUNCTION("""COMPUTED_VALUE"""),"沈O翎")</f>
        <v>沈O翎</v>
      </c>
      <c r="C753" s="9" t="str">
        <f>IFERROR(__xludf.DUMMYFUNCTION("""COMPUTED_VALUE"""),"113*****@ylhc.tw")</f>
        <v>113*****@ylhc.tw</v>
      </c>
      <c r="D753" s="9" t="str">
        <f>IFERROR(__xludf.DUMMYFUNCTION("""COMPUTED_VALUE"""),"國立員林高級家事商業職業學校")</f>
        <v>國立員林高級家事商業職業學校</v>
      </c>
      <c r="E753" s="9" t="str">
        <f>IFERROR(__xludf.DUMMYFUNCTION("""COMPUTED_VALUE"""),"國貿科")</f>
        <v>國貿科</v>
      </c>
      <c r="F753" s="9" t="str">
        <f>IFERROR(__xludf.DUMMYFUNCTION("""COMPUTED_VALUE"""),"二年級")</f>
        <v>二年級</v>
      </c>
      <c r="G753" s="9" t="str">
        <f>IFERROR(__xludf.DUMMYFUNCTION("""COMPUTED_VALUE"""),"獎狀")</f>
        <v>獎狀</v>
      </c>
      <c r="H753" s="9"/>
    </row>
    <row r="754">
      <c r="A754" s="13" t="s">
        <v>11</v>
      </c>
      <c r="B754" s="9" t="str">
        <f>IFERROR(__xludf.DUMMYFUNCTION("""COMPUTED_VALUE"""),"紀O薰")</f>
        <v>紀O薰</v>
      </c>
      <c r="C754" s="9" t="str">
        <f>IFERROR(__xludf.DUMMYFUNCTION("""COMPUTED_VALUE"""),"113*****@ylhc.tw")</f>
        <v>113*****@ylhc.tw</v>
      </c>
      <c r="D754" s="9" t="str">
        <f>IFERROR(__xludf.DUMMYFUNCTION("""COMPUTED_VALUE"""),"國立員林高級家事商業職業學校")</f>
        <v>國立員林高級家事商業職業學校</v>
      </c>
      <c r="E754" s="9" t="str">
        <f>IFERROR(__xludf.DUMMYFUNCTION("""COMPUTED_VALUE"""),"國貿科")</f>
        <v>國貿科</v>
      </c>
      <c r="F754" s="9" t="str">
        <f>IFERROR(__xludf.DUMMYFUNCTION("""COMPUTED_VALUE"""),"二年級")</f>
        <v>二年級</v>
      </c>
      <c r="G754" s="9" t="str">
        <f>IFERROR(__xludf.DUMMYFUNCTION("""COMPUTED_VALUE"""),"獎狀")</f>
        <v>獎狀</v>
      </c>
      <c r="H754" s="9"/>
    </row>
    <row r="755">
      <c r="A755" s="13" t="s">
        <v>11</v>
      </c>
      <c r="B755" s="9" t="str">
        <f>IFERROR(__xludf.DUMMYFUNCTION("""COMPUTED_VALUE"""),"陳O琳")</f>
        <v>陳O琳</v>
      </c>
      <c r="C755" s="9" t="str">
        <f>IFERROR(__xludf.DUMMYFUNCTION("""COMPUTED_VALUE"""),"113*****@ylhc.tw")</f>
        <v>113*****@ylhc.tw</v>
      </c>
      <c r="D755" s="9" t="str">
        <f>IFERROR(__xludf.DUMMYFUNCTION("""COMPUTED_VALUE"""),"國立員林高級家事商業職業學校")</f>
        <v>國立員林高級家事商業職業學校</v>
      </c>
      <c r="E755" s="9" t="str">
        <f>IFERROR(__xludf.DUMMYFUNCTION("""COMPUTED_VALUE"""),"國貿科")</f>
        <v>國貿科</v>
      </c>
      <c r="F755" s="9" t="str">
        <f>IFERROR(__xludf.DUMMYFUNCTION("""COMPUTED_VALUE"""),"二年級")</f>
        <v>二年級</v>
      </c>
      <c r="G755" s="9" t="str">
        <f>IFERROR(__xludf.DUMMYFUNCTION("""COMPUTED_VALUE"""),"獎狀")</f>
        <v>獎狀</v>
      </c>
      <c r="H755" s="9"/>
    </row>
    <row r="756">
      <c r="A756" s="13" t="s">
        <v>11</v>
      </c>
      <c r="B756" s="9" t="str">
        <f>IFERROR(__xludf.DUMMYFUNCTION("""COMPUTED_VALUE"""),"許O宇")</f>
        <v>許O宇</v>
      </c>
      <c r="C756" s="9" t="str">
        <f>IFERROR(__xludf.DUMMYFUNCTION("""COMPUTED_VALUE"""),"113*****@ylhc.tw")</f>
        <v>113*****@ylhc.tw</v>
      </c>
      <c r="D756" s="9" t="str">
        <f>IFERROR(__xludf.DUMMYFUNCTION("""COMPUTED_VALUE"""),"國立員林高級家事商業職業學校")</f>
        <v>國立員林高級家事商業職業學校</v>
      </c>
      <c r="E756" s="9" t="str">
        <f>IFERROR(__xludf.DUMMYFUNCTION("""COMPUTED_VALUE"""),"應英科")</f>
        <v>應英科</v>
      </c>
      <c r="F756" s="9" t="str">
        <f>IFERROR(__xludf.DUMMYFUNCTION("""COMPUTED_VALUE"""),"二年級")</f>
        <v>二年級</v>
      </c>
      <c r="G756" s="9" t="str">
        <f>IFERROR(__xludf.DUMMYFUNCTION("""COMPUTED_VALUE"""),"獎狀")</f>
        <v>獎狀</v>
      </c>
      <c r="H756" s="9"/>
    </row>
    <row r="757">
      <c r="A757" s="13" t="s">
        <v>11</v>
      </c>
      <c r="B757" s="9" t="str">
        <f>IFERROR(__xludf.DUMMYFUNCTION("""COMPUTED_VALUE"""),"陳O育")</f>
        <v>陳O育</v>
      </c>
      <c r="C757" s="9" t="str">
        <f>IFERROR(__xludf.DUMMYFUNCTION("""COMPUTED_VALUE"""),"113*****@ylhc.tw")</f>
        <v>113*****@ylhc.tw</v>
      </c>
      <c r="D757" s="9" t="str">
        <f>IFERROR(__xludf.DUMMYFUNCTION("""COMPUTED_VALUE"""),"國立員林高級家事商業職業學校")</f>
        <v>國立員林高級家事商業職業學校</v>
      </c>
      <c r="E757" s="9" t="str">
        <f>IFERROR(__xludf.DUMMYFUNCTION("""COMPUTED_VALUE"""),"應英科")</f>
        <v>應英科</v>
      </c>
      <c r="F757" s="9" t="str">
        <f>IFERROR(__xludf.DUMMYFUNCTION("""COMPUTED_VALUE"""),"二年級")</f>
        <v>二年級</v>
      </c>
      <c r="G757" s="9" t="str">
        <f>IFERROR(__xludf.DUMMYFUNCTION("""COMPUTED_VALUE"""),"獎狀")</f>
        <v>獎狀</v>
      </c>
      <c r="H757" s="9"/>
    </row>
    <row r="758">
      <c r="A758" s="13" t="s">
        <v>11</v>
      </c>
      <c r="B758" s="9" t="str">
        <f>IFERROR(__xludf.DUMMYFUNCTION("""COMPUTED_VALUE"""),"吳O瑄")</f>
        <v>吳O瑄</v>
      </c>
      <c r="C758" s="9" t="str">
        <f>IFERROR(__xludf.DUMMYFUNCTION("""COMPUTED_VALUE"""),"113*****@ylhc.tw")</f>
        <v>113*****@ylhc.tw</v>
      </c>
      <c r="D758" s="9" t="str">
        <f>IFERROR(__xludf.DUMMYFUNCTION("""COMPUTED_VALUE"""),"國立員林高級家事商業職業學校")</f>
        <v>國立員林高級家事商業職業學校</v>
      </c>
      <c r="E758" s="9" t="str">
        <f>IFERROR(__xludf.DUMMYFUNCTION("""COMPUTED_VALUE"""),"應英科")</f>
        <v>應英科</v>
      </c>
      <c r="F758" s="9" t="str">
        <f>IFERROR(__xludf.DUMMYFUNCTION("""COMPUTED_VALUE"""),"二年級")</f>
        <v>二年級</v>
      </c>
      <c r="G758" s="9" t="str">
        <f>IFERROR(__xludf.DUMMYFUNCTION("""COMPUTED_VALUE"""),"獎狀")</f>
        <v>獎狀</v>
      </c>
      <c r="H758" s="9"/>
    </row>
    <row r="759">
      <c r="A759" s="13" t="s">
        <v>11</v>
      </c>
      <c r="B759" s="9" t="str">
        <f>IFERROR(__xludf.DUMMYFUNCTION("""COMPUTED_VALUE"""),"邱O宣")</f>
        <v>邱O宣</v>
      </c>
      <c r="C759" s="9" t="str">
        <f>IFERROR(__xludf.DUMMYFUNCTION("""COMPUTED_VALUE"""),"113*****@ylhc.tw")</f>
        <v>113*****@ylhc.tw</v>
      </c>
      <c r="D759" s="9" t="str">
        <f>IFERROR(__xludf.DUMMYFUNCTION("""COMPUTED_VALUE"""),"國立員林高級家事商業職業學校")</f>
        <v>國立員林高級家事商業職業學校</v>
      </c>
      <c r="E759" s="9" t="str">
        <f>IFERROR(__xludf.DUMMYFUNCTION("""COMPUTED_VALUE"""),"應英科")</f>
        <v>應英科</v>
      </c>
      <c r="F759" s="9" t="str">
        <f>IFERROR(__xludf.DUMMYFUNCTION("""COMPUTED_VALUE"""),"二年級")</f>
        <v>二年級</v>
      </c>
      <c r="G759" s="9" t="str">
        <f>IFERROR(__xludf.DUMMYFUNCTION("""COMPUTED_VALUE"""),"獎狀")</f>
        <v>獎狀</v>
      </c>
      <c r="H759" s="9"/>
    </row>
    <row r="760">
      <c r="A760" s="13" t="s">
        <v>11</v>
      </c>
      <c r="B760" s="9" t="str">
        <f>IFERROR(__xludf.DUMMYFUNCTION("""COMPUTED_VALUE"""),"邱O婕")</f>
        <v>邱O婕</v>
      </c>
      <c r="C760" s="9" t="str">
        <f>IFERROR(__xludf.DUMMYFUNCTION("""COMPUTED_VALUE"""),"113*****@ylhc.tw")</f>
        <v>113*****@ylhc.tw</v>
      </c>
      <c r="D760" s="9" t="str">
        <f>IFERROR(__xludf.DUMMYFUNCTION("""COMPUTED_VALUE"""),"國立員林高級家事商業職業學校")</f>
        <v>國立員林高級家事商業職業學校</v>
      </c>
      <c r="E760" s="9" t="str">
        <f>IFERROR(__xludf.DUMMYFUNCTION("""COMPUTED_VALUE"""),"應英科")</f>
        <v>應英科</v>
      </c>
      <c r="F760" s="9" t="str">
        <f>IFERROR(__xludf.DUMMYFUNCTION("""COMPUTED_VALUE"""),"二年級")</f>
        <v>二年級</v>
      </c>
      <c r="G760" s="9" t="str">
        <f>IFERROR(__xludf.DUMMYFUNCTION("""COMPUTED_VALUE"""),"★商品卡$1000")</f>
        <v>★商品卡$1000</v>
      </c>
      <c r="H760" s="9"/>
    </row>
    <row r="761">
      <c r="A761" s="13" t="s">
        <v>11</v>
      </c>
      <c r="B761" s="9" t="str">
        <f>IFERROR(__xludf.DUMMYFUNCTION("""COMPUTED_VALUE"""),"張O妍")</f>
        <v>張O妍</v>
      </c>
      <c r="C761" s="9" t="str">
        <f>IFERROR(__xludf.DUMMYFUNCTION("""COMPUTED_VALUE"""),"113*****@ylhc.tw")</f>
        <v>113*****@ylhc.tw</v>
      </c>
      <c r="D761" s="9" t="str">
        <f>IFERROR(__xludf.DUMMYFUNCTION("""COMPUTED_VALUE"""),"國立員林高級家事商業職業學校")</f>
        <v>國立員林高級家事商業職業學校</v>
      </c>
      <c r="E761" s="9" t="str">
        <f>IFERROR(__xludf.DUMMYFUNCTION("""COMPUTED_VALUE"""),"應英科")</f>
        <v>應英科</v>
      </c>
      <c r="F761" s="9" t="str">
        <f>IFERROR(__xludf.DUMMYFUNCTION("""COMPUTED_VALUE"""),"二年級")</f>
        <v>二年級</v>
      </c>
      <c r="G761" s="9" t="str">
        <f>IFERROR(__xludf.DUMMYFUNCTION("""COMPUTED_VALUE"""),"○商品卡$500")</f>
        <v>○商品卡$500</v>
      </c>
      <c r="H761" s="9"/>
    </row>
    <row r="762">
      <c r="A762" s="13" t="s">
        <v>11</v>
      </c>
      <c r="B762" s="9" t="str">
        <f>IFERROR(__xludf.DUMMYFUNCTION("""COMPUTED_VALUE"""),"章O翎")</f>
        <v>章O翎</v>
      </c>
      <c r="C762" s="9" t="str">
        <f>IFERROR(__xludf.DUMMYFUNCTION("""COMPUTED_VALUE"""),"113*****@ylhc.tw")</f>
        <v>113*****@ylhc.tw</v>
      </c>
      <c r="D762" s="9" t="str">
        <f>IFERROR(__xludf.DUMMYFUNCTION("""COMPUTED_VALUE"""),"國立員林高級家事商業職業學校")</f>
        <v>國立員林高級家事商業職業學校</v>
      </c>
      <c r="E762" s="9" t="str">
        <f>IFERROR(__xludf.DUMMYFUNCTION("""COMPUTED_VALUE"""),"應英科")</f>
        <v>應英科</v>
      </c>
      <c r="F762" s="9" t="str">
        <f>IFERROR(__xludf.DUMMYFUNCTION("""COMPUTED_VALUE"""),"二年級")</f>
        <v>二年級</v>
      </c>
      <c r="G762" s="9" t="str">
        <f>IFERROR(__xludf.DUMMYFUNCTION("""COMPUTED_VALUE"""),"獎狀")</f>
        <v>獎狀</v>
      </c>
      <c r="H762" s="9"/>
    </row>
    <row r="763">
      <c r="A763" s="13" t="s">
        <v>11</v>
      </c>
      <c r="B763" s="9" t="str">
        <f>IFERROR(__xludf.DUMMYFUNCTION("""COMPUTED_VALUE"""),"陳O茹")</f>
        <v>陳O茹</v>
      </c>
      <c r="C763" s="9" t="str">
        <f>IFERROR(__xludf.DUMMYFUNCTION("""COMPUTED_VALUE"""),"113*****@ylhc.tw")</f>
        <v>113*****@ylhc.tw</v>
      </c>
      <c r="D763" s="9" t="str">
        <f>IFERROR(__xludf.DUMMYFUNCTION("""COMPUTED_VALUE"""),"國立員林高級家事商業職業學校")</f>
        <v>國立員林高級家事商業職業學校</v>
      </c>
      <c r="E763" s="9" t="str">
        <f>IFERROR(__xludf.DUMMYFUNCTION("""COMPUTED_VALUE"""),"應英科")</f>
        <v>應英科</v>
      </c>
      <c r="F763" s="9" t="str">
        <f>IFERROR(__xludf.DUMMYFUNCTION("""COMPUTED_VALUE"""),"二年級")</f>
        <v>二年級</v>
      </c>
      <c r="G763" s="9" t="str">
        <f>IFERROR(__xludf.DUMMYFUNCTION("""COMPUTED_VALUE"""),"獎狀")</f>
        <v>獎狀</v>
      </c>
      <c r="H763" s="9"/>
    </row>
    <row r="764">
      <c r="A764" s="13" t="s">
        <v>11</v>
      </c>
      <c r="B764" s="9" t="str">
        <f>IFERROR(__xludf.DUMMYFUNCTION("""COMPUTED_VALUE"""),"陳O琳")</f>
        <v>陳O琳</v>
      </c>
      <c r="C764" s="9" t="str">
        <f>IFERROR(__xludf.DUMMYFUNCTION("""COMPUTED_VALUE"""),"113*****@ylhc.tw")</f>
        <v>113*****@ylhc.tw</v>
      </c>
      <c r="D764" s="9" t="str">
        <f>IFERROR(__xludf.DUMMYFUNCTION("""COMPUTED_VALUE"""),"國立員林高級家事商業職業學校")</f>
        <v>國立員林高級家事商業職業學校</v>
      </c>
      <c r="E764" s="9" t="str">
        <f>IFERROR(__xludf.DUMMYFUNCTION("""COMPUTED_VALUE"""),"應英科")</f>
        <v>應英科</v>
      </c>
      <c r="F764" s="9" t="str">
        <f>IFERROR(__xludf.DUMMYFUNCTION("""COMPUTED_VALUE"""),"二年級")</f>
        <v>二年級</v>
      </c>
      <c r="G764" s="9" t="str">
        <f>IFERROR(__xludf.DUMMYFUNCTION("""COMPUTED_VALUE"""),"獎狀")</f>
        <v>獎狀</v>
      </c>
      <c r="H764" s="9"/>
    </row>
    <row r="765">
      <c r="A765" s="13" t="s">
        <v>11</v>
      </c>
      <c r="B765" s="9" t="str">
        <f>IFERROR(__xludf.DUMMYFUNCTION("""COMPUTED_VALUE"""),"陳O苓")</f>
        <v>陳O苓</v>
      </c>
      <c r="C765" s="9" t="str">
        <f>IFERROR(__xludf.DUMMYFUNCTION("""COMPUTED_VALUE"""),"113*****@ylhc.tw")</f>
        <v>113*****@ylhc.tw</v>
      </c>
      <c r="D765" s="9" t="str">
        <f>IFERROR(__xludf.DUMMYFUNCTION("""COMPUTED_VALUE"""),"國立員林高級家事商業職業學校")</f>
        <v>國立員林高級家事商業職業學校</v>
      </c>
      <c r="E765" s="9" t="str">
        <f>IFERROR(__xludf.DUMMYFUNCTION("""COMPUTED_VALUE"""),"應英科")</f>
        <v>應英科</v>
      </c>
      <c r="F765" s="9" t="str">
        <f>IFERROR(__xludf.DUMMYFUNCTION("""COMPUTED_VALUE"""),"二年級")</f>
        <v>二年級</v>
      </c>
      <c r="G765" s="9" t="str">
        <f>IFERROR(__xludf.DUMMYFUNCTION("""COMPUTED_VALUE"""),"獎狀")</f>
        <v>獎狀</v>
      </c>
      <c r="H765" s="9"/>
    </row>
    <row r="766">
      <c r="A766" s="13" t="s">
        <v>11</v>
      </c>
      <c r="B766" s="9" t="str">
        <f>IFERROR(__xludf.DUMMYFUNCTION("""COMPUTED_VALUE"""),"黃O芳")</f>
        <v>黃O芳</v>
      </c>
      <c r="C766" s="9" t="str">
        <f>IFERROR(__xludf.DUMMYFUNCTION("""COMPUTED_VALUE"""),"113*****@ylhc.tw")</f>
        <v>113*****@ylhc.tw</v>
      </c>
      <c r="D766" s="9" t="str">
        <f>IFERROR(__xludf.DUMMYFUNCTION("""COMPUTED_VALUE"""),"國立員林高級家事商業職業學校")</f>
        <v>國立員林高級家事商業職業學校</v>
      </c>
      <c r="E766" s="9" t="str">
        <f>IFERROR(__xludf.DUMMYFUNCTION("""COMPUTED_VALUE"""),"應英科")</f>
        <v>應英科</v>
      </c>
      <c r="F766" s="9" t="str">
        <f>IFERROR(__xludf.DUMMYFUNCTION("""COMPUTED_VALUE"""),"二年級")</f>
        <v>二年級</v>
      </c>
      <c r="G766" s="9" t="str">
        <f>IFERROR(__xludf.DUMMYFUNCTION("""COMPUTED_VALUE"""),"■商品卡$200")</f>
        <v>■商品卡$200</v>
      </c>
      <c r="H766" s="9"/>
    </row>
    <row r="767">
      <c r="A767" s="13" t="s">
        <v>11</v>
      </c>
      <c r="B767" s="9" t="str">
        <f>IFERROR(__xludf.DUMMYFUNCTION("""COMPUTED_VALUE"""),"蕭O蓉")</f>
        <v>蕭O蓉</v>
      </c>
      <c r="C767" s="9" t="str">
        <f>IFERROR(__xludf.DUMMYFUNCTION("""COMPUTED_VALUE"""),"113*****@ylhc.tw")</f>
        <v>113*****@ylhc.tw</v>
      </c>
      <c r="D767" s="9" t="str">
        <f>IFERROR(__xludf.DUMMYFUNCTION("""COMPUTED_VALUE"""),"國立員林高級家事商業職業學校")</f>
        <v>國立員林高級家事商業職業學校</v>
      </c>
      <c r="E767" s="9" t="str">
        <f>IFERROR(__xludf.DUMMYFUNCTION("""COMPUTED_VALUE"""),"應英科")</f>
        <v>應英科</v>
      </c>
      <c r="F767" s="9" t="str">
        <f>IFERROR(__xludf.DUMMYFUNCTION("""COMPUTED_VALUE"""),"二年級")</f>
        <v>二年級</v>
      </c>
      <c r="G767" s="9" t="str">
        <f>IFERROR(__xludf.DUMMYFUNCTION("""COMPUTED_VALUE"""),"○商品卡$500")</f>
        <v>○商品卡$500</v>
      </c>
      <c r="H767" s="9"/>
    </row>
    <row r="768">
      <c r="A768" s="13" t="s">
        <v>11</v>
      </c>
      <c r="B768" s="9" t="str">
        <f>IFERROR(__xludf.DUMMYFUNCTION("""COMPUTED_VALUE"""),"賴O玹")</f>
        <v>賴O玹</v>
      </c>
      <c r="C768" s="9" t="str">
        <f>IFERROR(__xludf.DUMMYFUNCTION("""COMPUTED_VALUE"""),"113*****@ylhc.tw")</f>
        <v>113*****@ylhc.tw</v>
      </c>
      <c r="D768" s="9" t="str">
        <f>IFERROR(__xludf.DUMMYFUNCTION("""COMPUTED_VALUE"""),"國立員林高級家事商業職業學校")</f>
        <v>國立員林高級家事商業職業學校</v>
      </c>
      <c r="E768" s="9" t="str">
        <f>IFERROR(__xludf.DUMMYFUNCTION("""COMPUTED_VALUE"""),"應英科")</f>
        <v>應英科</v>
      </c>
      <c r="F768" s="9" t="str">
        <f>IFERROR(__xludf.DUMMYFUNCTION("""COMPUTED_VALUE"""),"二年級")</f>
        <v>二年級</v>
      </c>
      <c r="G768" s="9" t="str">
        <f>IFERROR(__xludf.DUMMYFUNCTION("""COMPUTED_VALUE"""),"獎狀")</f>
        <v>獎狀</v>
      </c>
      <c r="H768" s="9"/>
    </row>
    <row r="769">
      <c r="A769" s="13" t="s">
        <v>11</v>
      </c>
      <c r="B769" s="9" t="str">
        <f>IFERROR(__xludf.DUMMYFUNCTION("""COMPUTED_VALUE"""),"吳O利")</f>
        <v>吳O利</v>
      </c>
      <c r="C769" s="9" t="str">
        <f>IFERROR(__xludf.DUMMYFUNCTION("""COMPUTED_VALUE"""),"316*****lvs.tw")</f>
        <v>316*****lvs.tw</v>
      </c>
      <c r="D769" s="9" t="str">
        <f>IFERROR(__xludf.DUMMYFUNCTION("""COMPUTED_VALUE"""),"國立員林高級農工職業學校")</f>
        <v>國立員林高級農工職業學校</v>
      </c>
      <c r="E769" s="9" t="str">
        <f>IFERROR(__xludf.DUMMYFUNCTION("""COMPUTED_VALUE"""),"畜產保健科")</f>
        <v>畜產保健科</v>
      </c>
      <c r="F769" s="9" t="str">
        <f>IFERROR(__xludf.DUMMYFUNCTION("""COMPUTED_VALUE"""),"一年級")</f>
        <v>一年級</v>
      </c>
      <c r="G769" s="9" t="str">
        <f>IFERROR(__xludf.DUMMYFUNCTION("""COMPUTED_VALUE"""),"獎狀")</f>
        <v>獎狀</v>
      </c>
      <c r="H769" s="9"/>
    </row>
    <row r="770">
      <c r="A770" s="13" t="s">
        <v>11</v>
      </c>
      <c r="B770" s="9" t="str">
        <f>IFERROR(__xludf.DUMMYFUNCTION("""COMPUTED_VALUE"""),"李O庭")</f>
        <v>李O庭</v>
      </c>
      <c r="C770" s="9" t="str">
        <f>IFERROR(__xludf.DUMMYFUNCTION("""COMPUTED_VALUE"""),"316*****lvs.tw")</f>
        <v>316*****lvs.tw</v>
      </c>
      <c r="D770" s="9" t="str">
        <f>IFERROR(__xludf.DUMMYFUNCTION("""COMPUTED_VALUE"""),"國立員林高級農工職業學校")</f>
        <v>國立員林高級農工職業學校</v>
      </c>
      <c r="E770" s="9" t="str">
        <f>IFERROR(__xludf.DUMMYFUNCTION("""COMPUTED_VALUE"""),"畜產保健科")</f>
        <v>畜產保健科</v>
      </c>
      <c r="F770" s="9" t="str">
        <f>IFERROR(__xludf.DUMMYFUNCTION("""COMPUTED_VALUE"""),"一年級")</f>
        <v>一年級</v>
      </c>
      <c r="G770" s="9" t="str">
        <f>IFERROR(__xludf.DUMMYFUNCTION("""COMPUTED_VALUE"""),"獎狀")</f>
        <v>獎狀</v>
      </c>
      <c r="H770" s="9"/>
    </row>
    <row r="771">
      <c r="A771" s="13" t="s">
        <v>11</v>
      </c>
      <c r="B771" s="9" t="str">
        <f>IFERROR(__xludf.DUMMYFUNCTION("""COMPUTED_VALUE"""),"李O婷")</f>
        <v>李O婷</v>
      </c>
      <c r="C771" s="9" t="str">
        <f>IFERROR(__xludf.DUMMYFUNCTION("""COMPUTED_VALUE"""),"316*****lvs.tw")</f>
        <v>316*****lvs.tw</v>
      </c>
      <c r="D771" s="9" t="str">
        <f>IFERROR(__xludf.DUMMYFUNCTION("""COMPUTED_VALUE"""),"國立員林高級農工職業學校")</f>
        <v>國立員林高級農工職業學校</v>
      </c>
      <c r="E771" s="9" t="str">
        <f>IFERROR(__xludf.DUMMYFUNCTION("""COMPUTED_VALUE"""),"畜產保健科")</f>
        <v>畜產保健科</v>
      </c>
      <c r="F771" s="9" t="str">
        <f>IFERROR(__xludf.DUMMYFUNCTION("""COMPUTED_VALUE"""),"一年級")</f>
        <v>一年級</v>
      </c>
      <c r="G771" s="9" t="str">
        <f>IFERROR(__xludf.DUMMYFUNCTION("""COMPUTED_VALUE"""),"獎狀")</f>
        <v>獎狀</v>
      </c>
      <c r="H771" s="9"/>
    </row>
    <row r="772">
      <c r="A772" s="13" t="s">
        <v>11</v>
      </c>
      <c r="B772" s="9" t="str">
        <f>IFERROR(__xludf.DUMMYFUNCTION("""COMPUTED_VALUE"""),"李O安")</f>
        <v>李O安</v>
      </c>
      <c r="C772" s="9" t="str">
        <f>IFERROR(__xludf.DUMMYFUNCTION("""COMPUTED_VALUE"""),"316*****lvs.tw")</f>
        <v>316*****lvs.tw</v>
      </c>
      <c r="D772" s="9" t="str">
        <f>IFERROR(__xludf.DUMMYFUNCTION("""COMPUTED_VALUE"""),"國立員林高級農工職業學校")</f>
        <v>國立員林高級農工職業學校</v>
      </c>
      <c r="E772" s="9" t="str">
        <f>IFERROR(__xludf.DUMMYFUNCTION("""COMPUTED_VALUE"""),"畜產保健科")</f>
        <v>畜產保健科</v>
      </c>
      <c r="F772" s="9" t="str">
        <f>IFERROR(__xludf.DUMMYFUNCTION("""COMPUTED_VALUE"""),"一年級")</f>
        <v>一年級</v>
      </c>
      <c r="G772" s="9" t="str">
        <f>IFERROR(__xludf.DUMMYFUNCTION("""COMPUTED_VALUE"""),"獎狀")</f>
        <v>獎狀</v>
      </c>
      <c r="H772" s="9"/>
    </row>
    <row r="773">
      <c r="A773" s="13" t="s">
        <v>11</v>
      </c>
      <c r="B773" s="9" t="str">
        <f>IFERROR(__xludf.DUMMYFUNCTION("""COMPUTED_VALUE"""),"林O憶")</f>
        <v>林O憶</v>
      </c>
      <c r="C773" s="9" t="str">
        <f>IFERROR(__xludf.DUMMYFUNCTION("""COMPUTED_VALUE"""),"316*****lvs.tw")</f>
        <v>316*****lvs.tw</v>
      </c>
      <c r="D773" s="9" t="str">
        <f>IFERROR(__xludf.DUMMYFUNCTION("""COMPUTED_VALUE"""),"國立員林高級農工職業學校")</f>
        <v>國立員林高級農工職業學校</v>
      </c>
      <c r="E773" s="9" t="str">
        <f>IFERROR(__xludf.DUMMYFUNCTION("""COMPUTED_VALUE"""),"畜產保健科")</f>
        <v>畜產保健科</v>
      </c>
      <c r="F773" s="9" t="str">
        <f>IFERROR(__xludf.DUMMYFUNCTION("""COMPUTED_VALUE"""),"一年級")</f>
        <v>一年級</v>
      </c>
      <c r="G773" s="9" t="str">
        <f>IFERROR(__xludf.DUMMYFUNCTION("""COMPUTED_VALUE"""),"獎狀")</f>
        <v>獎狀</v>
      </c>
      <c r="H773" s="9"/>
    </row>
    <row r="774">
      <c r="A774" s="13" t="s">
        <v>11</v>
      </c>
      <c r="B774" s="9" t="str">
        <f>IFERROR(__xludf.DUMMYFUNCTION("""COMPUTED_VALUE"""),"林O柔")</f>
        <v>林O柔</v>
      </c>
      <c r="C774" s="9" t="str">
        <f>IFERROR(__xludf.DUMMYFUNCTION("""COMPUTED_VALUE"""),"316*****lvs.tw")</f>
        <v>316*****lvs.tw</v>
      </c>
      <c r="D774" s="9" t="str">
        <f>IFERROR(__xludf.DUMMYFUNCTION("""COMPUTED_VALUE"""),"國立員林高級農工職業學校")</f>
        <v>國立員林高級農工職業學校</v>
      </c>
      <c r="E774" s="9" t="str">
        <f>IFERROR(__xludf.DUMMYFUNCTION("""COMPUTED_VALUE"""),"畜產保健科")</f>
        <v>畜產保健科</v>
      </c>
      <c r="F774" s="9" t="str">
        <f>IFERROR(__xludf.DUMMYFUNCTION("""COMPUTED_VALUE"""),"一年級")</f>
        <v>一年級</v>
      </c>
      <c r="G774" s="9" t="str">
        <f>IFERROR(__xludf.DUMMYFUNCTION("""COMPUTED_VALUE"""),"獎狀")</f>
        <v>獎狀</v>
      </c>
      <c r="H774" s="9"/>
    </row>
    <row r="775">
      <c r="A775" s="13" t="s">
        <v>11</v>
      </c>
      <c r="B775" s="9" t="str">
        <f>IFERROR(__xludf.DUMMYFUNCTION("""COMPUTED_VALUE"""),"柯O芸")</f>
        <v>柯O芸</v>
      </c>
      <c r="C775" s="9" t="str">
        <f>IFERROR(__xludf.DUMMYFUNCTION("""COMPUTED_VALUE"""),"316*****lvs.tw")</f>
        <v>316*****lvs.tw</v>
      </c>
      <c r="D775" s="9" t="str">
        <f>IFERROR(__xludf.DUMMYFUNCTION("""COMPUTED_VALUE"""),"國立員林高級農工職業學校")</f>
        <v>國立員林高級農工職業學校</v>
      </c>
      <c r="E775" s="9" t="str">
        <f>IFERROR(__xludf.DUMMYFUNCTION("""COMPUTED_VALUE"""),"畜產保健科")</f>
        <v>畜產保健科</v>
      </c>
      <c r="F775" s="9" t="str">
        <f>IFERROR(__xludf.DUMMYFUNCTION("""COMPUTED_VALUE"""),"一年級")</f>
        <v>一年級</v>
      </c>
      <c r="G775" s="9" t="str">
        <f>IFERROR(__xludf.DUMMYFUNCTION("""COMPUTED_VALUE"""),"★商品卡$1000")</f>
        <v>★商品卡$1000</v>
      </c>
      <c r="H775" s="9"/>
    </row>
    <row r="776">
      <c r="A776" s="13" t="s">
        <v>11</v>
      </c>
      <c r="B776" s="9" t="str">
        <f>IFERROR(__xludf.DUMMYFUNCTION("""COMPUTED_VALUE"""),"柳O伃")</f>
        <v>柳O伃</v>
      </c>
      <c r="C776" s="9" t="str">
        <f>IFERROR(__xludf.DUMMYFUNCTION("""COMPUTED_VALUE"""),"316*****lvs.tw")</f>
        <v>316*****lvs.tw</v>
      </c>
      <c r="D776" s="9" t="str">
        <f>IFERROR(__xludf.DUMMYFUNCTION("""COMPUTED_VALUE"""),"國立員林高級農工職業學校")</f>
        <v>國立員林高級農工職業學校</v>
      </c>
      <c r="E776" s="9" t="str">
        <f>IFERROR(__xludf.DUMMYFUNCTION("""COMPUTED_VALUE"""),"畜產保健科")</f>
        <v>畜產保健科</v>
      </c>
      <c r="F776" s="9" t="str">
        <f>IFERROR(__xludf.DUMMYFUNCTION("""COMPUTED_VALUE"""),"一年級")</f>
        <v>一年級</v>
      </c>
      <c r="G776" s="9" t="str">
        <f>IFERROR(__xludf.DUMMYFUNCTION("""COMPUTED_VALUE"""),"獎狀")</f>
        <v>獎狀</v>
      </c>
      <c r="H776" s="9"/>
    </row>
    <row r="777">
      <c r="A777" s="13" t="s">
        <v>11</v>
      </c>
      <c r="B777" s="9" t="str">
        <f>IFERROR(__xludf.DUMMYFUNCTION("""COMPUTED_VALUE"""),"洪O")</f>
        <v>洪O</v>
      </c>
      <c r="C777" s="9" t="str">
        <f>IFERROR(__xludf.DUMMYFUNCTION("""COMPUTED_VALUE"""),"316*****lvs.tw")</f>
        <v>316*****lvs.tw</v>
      </c>
      <c r="D777" s="9" t="str">
        <f>IFERROR(__xludf.DUMMYFUNCTION("""COMPUTED_VALUE"""),"國立員林高級農工職業學校")</f>
        <v>國立員林高級農工職業學校</v>
      </c>
      <c r="E777" s="9" t="str">
        <f>IFERROR(__xludf.DUMMYFUNCTION("""COMPUTED_VALUE"""),"畜產保健科")</f>
        <v>畜產保健科</v>
      </c>
      <c r="F777" s="9" t="str">
        <f>IFERROR(__xludf.DUMMYFUNCTION("""COMPUTED_VALUE"""),"一年級")</f>
        <v>一年級</v>
      </c>
      <c r="G777" s="9" t="str">
        <f>IFERROR(__xludf.DUMMYFUNCTION("""COMPUTED_VALUE"""),"獎狀")</f>
        <v>獎狀</v>
      </c>
      <c r="H777" s="9"/>
    </row>
    <row r="778">
      <c r="A778" s="13" t="s">
        <v>11</v>
      </c>
      <c r="B778" s="9" t="str">
        <f>IFERROR(__xludf.DUMMYFUNCTION("""COMPUTED_VALUE"""),"許O瑜")</f>
        <v>許O瑜</v>
      </c>
      <c r="C778" s="9" t="str">
        <f>IFERROR(__xludf.DUMMYFUNCTION("""COMPUTED_VALUE"""),"316*****lvs.tw")</f>
        <v>316*****lvs.tw</v>
      </c>
      <c r="D778" s="9" t="str">
        <f>IFERROR(__xludf.DUMMYFUNCTION("""COMPUTED_VALUE"""),"國立員林高級農工職業學校")</f>
        <v>國立員林高級農工職業學校</v>
      </c>
      <c r="E778" s="9" t="str">
        <f>IFERROR(__xludf.DUMMYFUNCTION("""COMPUTED_VALUE"""),"畜產保健科")</f>
        <v>畜產保健科</v>
      </c>
      <c r="F778" s="9" t="str">
        <f>IFERROR(__xludf.DUMMYFUNCTION("""COMPUTED_VALUE"""),"一年級")</f>
        <v>一年級</v>
      </c>
      <c r="G778" s="9" t="str">
        <f>IFERROR(__xludf.DUMMYFUNCTION("""COMPUTED_VALUE"""),"獎狀")</f>
        <v>獎狀</v>
      </c>
      <c r="H778" s="9"/>
    </row>
    <row r="779">
      <c r="A779" s="13" t="s">
        <v>11</v>
      </c>
      <c r="B779" s="9" t="str">
        <f>IFERROR(__xludf.DUMMYFUNCTION("""COMPUTED_VALUE"""),"許O瑄")</f>
        <v>許O瑄</v>
      </c>
      <c r="C779" s="9" t="str">
        <f>IFERROR(__xludf.DUMMYFUNCTION("""COMPUTED_VALUE"""),"316*****lvs.tw")</f>
        <v>316*****lvs.tw</v>
      </c>
      <c r="D779" s="9" t="str">
        <f>IFERROR(__xludf.DUMMYFUNCTION("""COMPUTED_VALUE"""),"國立員林高級農工職業學校")</f>
        <v>國立員林高級農工職業學校</v>
      </c>
      <c r="E779" s="9" t="str">
        <f>IFERROR(__xludf.DUMMYFUNCTION("""COMPUTED_VALUE"""),"畜產保健科")</f>
        <v>畜產保健科</v>
      </c>
      <c r="F779" s="9" t="str">
        <f>IFERROR(__xludf.DUMMYFUNCTION("""COMPUTED_VALUE"""),"一年級")</f>
        <v>一年級</v>
      </c>
      <c r="G779" s="9" t="str">
        <f>IFERROR(__xludf.DUMMYFUNCTION("""COMPUTED_VALUE"""),"■商品卡$200")</f>
        <v>■商品卡$200</v>
      </c>
      <c r="H779" s="9"/>
    </row>
    <row r="780">
      <c r="A780" s="13" t="s">
        <v>11</v>
      </c>
      <c r="B780" s="9" t="str">
        <f>IFERROR(__xludf.DUMMYFUNCTION("""COMPUTED_VALUE"""),"郭O瑄")</f>
        <v>郭O瑄</v>
      </c>
      <c r="C780" s="9" t="str">
        <f>IFERROR(__xludf.DUMMYFUNCTION("""COMPUTED_VALUE"""),"316*****lvs.tw")</f>
        <v>316*****lvs.tw</v>
      </c>
      <c r="D780" s="9" t="str">
        <f>IFERROR(__xludf.DUMMYFUNCTION("""COMPUTED_VALUE"""),"國立員林高級農工職業學校")</f>
        <v>國立員林高級農工職業學校</v>
      </c>
      <c r="E780" s="9" t="str">
        <f>IFERROR(__xludf.DUMMYFUNCTION("""COMPUTED_VALUE"""),"畜產保健科")</f>
        <v>畜產保健科</v>
      </c>
      <c r="F780" s="9" t="str">
        <f>IFERROR(__xludf.DUMMYFUNCTION("""COMPUTED_VALUE"""),"一年級")</f>
        <v>一年級</v>
      </c>
      <c r="G780" s="9" t="str">
        <f>IFERROR(__xludf.DUMMYFUNCTION("""COMPUTED_VALUE"""),"獎狀")</f>
        <v>獎狀</v>
      </c>
      <c r="H780" s="9"/>
    </row>
    <row r="781">
      <c r="A781" s="13" t="s">
        <v>11</v>
      </c>
      <c r="B781" s="9" t="str">
        <f>IFERROR(__xludf.DUMMYFUNCTION("""COMPUTED_VALUE"""),"黃O琦")</f>
        <v>黃O琦</v>
      </c>
      <c r="C781" s="9" t="str">
        <f>IFERROR(__xludf.DUMMYFUNCTION("""COMPUTED_VALUE"""),"316*****lvs.tw")</f>
        <v>316*****lvs.tw</v>
      </c>
      <c r="D781" s="9" t="str">
        <f>IFERROR(__xludf.DUMMYFUNCTION("""COMPUTED_VALUE"""),"國立員林高級農工職業學校")</f>
        <v>國立員林高級農工職業學校</v>
      </c>
      <c r="E781" s="9" t="str">
        <f>IFERROR(__xludf.DUMMYFUNCTION("""COMPUTED_VALUE"""),"畜產保健科")</f>
        <v>畜產保健科</v>
      </c>
      <c r="F781" s="9" t="str">
        <f>IFERROR(__xludf.DUMMYFUNCTION("""COMPUTED_VALUE"""),"一年級")</f>
        <v>一年級</v>
      </c>
      <c r="G781" s="9" t="str">
        <f>IFERROR(__xludf.DUMMYFUNCTION("""COMPUTED_VALUE"""),"獎狀")</f>
        <v>獎狀</v>
      </c>
      <c r="H781" s="9"/>
    </row>
    <row r="782">
      <c r="A782" s="13" t="s">
        <v>11</v>
      </c>
      <c r="B782" s="9" t="str">
        <f>IFERROR(__xludf.DUMMYFUNCTION("""COMPUTED_VALUE"""),"蔡O嘉")</f>
        <v>蔡O嘉</v>
      </c>
      <c r="C782" s="9" t="str">
        <f>IFERROR(__xludf.DUMMYFUNCTION("""COMPUTED_VALUE"""),"316*****lvs.tw")</f>
        <v>316*****lvs.tw</v>
      </c>
      <c r="D782" s="9" t="str">
        <f>IFERROR(__xludf.DUMMYFUNCTION("""COMPUTED_VALUE"""),"國立員林高級農工職業學校")</f>
        <v>國立員林高級農工職業學校</v>
      </c>
      <c r="E782" s="9" t="str">
        <f>IFERROR(__xludf.DUMMYFUNCTION("""COMPUTED_VALUE"""),"畜產保健科")</f>
        <v>畜產保健科</v>
      </c>
      <c r="F782" s="9" t="str">
        <f>IFERROR(__xludf.DUMMYFUNCTION("""COMPUTED_VALUE"""),"一年級")</f>
        <v>一年級</v>
      </c>
      <c r="G782" s="9" t="str">
        <f>IFERROR(__xludf.DUMMYFUNCTION("""COMPUTED_VALUE"""),"獎狀")</f>
        <v>獎狀</v>
      </c>
      <c r="H782" s="9"/>
    </row>
    <row r="783">
      <c r="A783" s="13" t="s">
        <v>11</v>
      </c>
      <c r="B783" s="9" t="str">
        <f>IFERROR(__xludf.DUMMYFUNCTION("""COMPUTED_VALUE"""),"謝O紜")</f>
        <v>謝O紜</v>
      </c>
      <c r="C783" s="9" t="str">
        <f>IFERROR(__xludf.DUMMYFUNCTION("""COMPUTED_VALUE"""),"316*****lvs.tw")</f>
        <v>316*****lvs.tw</v>
      </c>
      <c r="D783" s="9" t="str">
        <f>IFERROR(__xludf.DUMMYFUNCTION("""COMPUTED_VALUE"""),"國立員林高級農工職業學校")</f>
        <v>國立員林高級農工職業學校</v>
      </c>
      <c r="E783" s="9" t="str">
        <f>IFERROR(__xludf.DUMMYFUNCTION("""COMPUTED_VALUE"""),"畜產保健科")</f>
        <v>畜產保健科</v>
      </c>
      <c r="F783" s="9" t="str">
        <f>IFERROR(__xludf.DUMMYFUNCTION("""COMPUTED_VALUE"""),"一年級")</f>
        <v>一年級</v>
      </c>
      <c r="G783" s="9" t="str">
        <f>IFERROR(__xludf.DUMMYFUNCTION("""COMPUTED_VALUE"""),"獎狀")</f>
        <v>獎狀</v>
      </c>
      <c r="H783" s="9"/>
    </row>
    <row r="784">
      <c r="A784" s="13" t="s">
        <v>11</v>
      </c>
      <c r="B784" s="9" t="str">
        <f>IFERROR(__xludf.DUMMYFUNCTION("""COMPUTED_VALUE"""),"卓O文")</f>
        <v>卓O文</v>
      </c>
      <c r="C784" s="9" t="str">
        <f>IFERROR(__xludf.DUMMYFUNCTION("""COMPUTED_VALUE"""),"316*****lvs.tw")</f>
        <v>316*****lvs.tw</v>
      </c>
      <c r="D784" s="9" t="str">
        <f>IFERROR(__xludf.DUMMYFUNCTION("""COMPUTED_VALUE"""),"國立員林高級農工職業學校")</f>
        <v>國立員林高級農工職業學校</v>
      </c>
      <c r="E784" s="9" t="str">
        <f>IFERROR(__xludf.DUMMYFUNCTION("""COMPUTED_VALUE"""),"畜產保健科")</f>
        <v>畜產保健科</v>
      </c>
      <c r="F784" s="9" t="str">
        <f>IFERROR(__xludf.DUMMYFUNCTION("""COMPUTED_VALUE"""),"一年級")</f>
        <v>一年級</v>
      </c>
      <c r="G784" s="9" t="str">
        <f>IFERROR(__xludf.DUMMYFUNCTION("""COMPUTED_VALUE"""),"獎狀")</f>
        <v>獎狀</v>
      </c>
      <c r="H784" s="9"/>
    </row>
    <row r="785">
      <c r="A785" s="13" t="s">
        <v>11</v>
      </c>
      <c r="B785" s="9" t="str">
        <f>IFERROR(__xludf.DUMMYFUNCTION("""COMPUTED_VALUE"""),"林O翔")</f>
        <v>林O翔</v>
      </c>
      <c r="C785" s="9" t="str">
        <f>IFERROR(__xludf.DUMMYFUNCTION("""COMPUTED_VALUE"""),"316*****lvs.tw")</f>
        <v>316*****lvs.tw</v>
      </c>
      <c r="D785" s="9" t="str">
        <f>IFERROR(__xludf.DUMMYFUNCTION("""COMPUTED_VALUE"""),"國立員林高級農工職業學校")</f>
        <v>國立員林高級農工職業學校</v>
      </c>
      <c r="E785" s="9" t="str">
        <f>IFERROR(__xludf.DUMMYFUNCTION("""COMPUTED_VALUE"""),"畜產保健科")</f>
        <v>畜產保健科</v>
      </c>
      <c r="F785" s="9" t="str">
        <f>IFERROR(__xludf.DUMMYFUNCTION("""COMPUTED_VALUE"""),"一年級")</f>
        <v>一年級</v>
      </c>
      <c r="G785" s="9" t="str">
        <f>IFERROR(__xludf.DUMMYFUNCTION("""COMPUTED_VALUE"""),"獎狀")</f>
        <v>獎狀</v>
      </c>
      <c r="H785" s="9"/>
    </row>
    <row r="786">
      <c r="A786" s="13" t="s">
        <v>11</v>
      </c>
      <c r="B786" s="9" t="str">
        <f>IFERROR(__xludf.DUMMYFUNCTION("""COMPUTED_VALUE"""),"邱O翔")</f>
        <v>邱O翔</v>
      </c>
      <c r="C786" s="9" t="str">
        <f>IFERROR(__xludf.DUMMYFUNCTION("""COMPUTED_VALUE"""),"316*****lvs.tw")</f>
        <v>316*****lvs.tw</v>
      </c>
      <c r="D786" s="9" t="str">
        <f>IFERROR(__xludf.DUMMYFUNCTION("""COMPUTED_VALUE"""),"國立員林高級農工職業學校")</f>
        <v>國立員林高級農工職業學校</v>
      </c>
      <c r="E786" s="9" t="str">
        <f>IFERROR(__xludf.DUMMYFUNCTION("""COMPUTED_VALUE"""),"畜產保健科")</f>
        <v>畜產保健科</v>
      </c>
      <c r="F786" s="9" t="str">
        <f>IFERROR(__xludf.DUMMYFUNCTION("""COMPUTED_VALUE"""),"一年級")</f>
        <v>一年級</v>
      </c>
      <c r="G786" s="9" t="str">
        <f>IFERROR(__xludf.DUMMYFUNCTION("""COMPUTED_VALUE"""),"獎狀")</f>
        <v>獎狀</v>
      </c>
      <c r="H786" s="9"/>
    </row>
    <row r="787">
      <c r="A787" s="13" t="s">
        <v>11</v>
      </c>
      <c r="B787" s="9" t="str">
        <f>IFERROR(__xludf.DUMMYFUNCTION("""COMPUTED_VALUE"""),"張O華")</f>
        <v>張O華</v>
      </c>
      <c r="C787" s="9" t="str">
        <f>IFERROR(__xludf.DUMMYFUNCTION("""COMPUTED_VALUE"""),"316*****lvs.tw")</f>
        <v>316*****lvs.tw</v>
      </c>
      <c r="D787" s="9" t="str">
        <f>IFERROR(__xludf.DUMMYFUNCTION("""COMPUTED_VALUE"""),"國立員林高級農工職業學校")</f>
        <v>國立員林高級農工職業學校</v>
      </c>
      <c r="E787" s="9" t="str">
        <f>IFERROR(__xludf.DUMMYFUNCTION("""COMPUTED_VALUE"""),"畜產保健科")</f>
        <v>畜產保健科</v>
      </c>
      <c r="F787" s="9" t="str">
        <f>IFERROR(__xludf.DUMMYFUNCTION("""COMPUTED_VALUE"""),"一年級")</f>
        <v>一年級</v>
      </c>
      <c r="G787" s="9" t="str">
        <f>IFERROR(__xludf.DUMMYFUNCTION("""COMPUTED_VALUE"""),"獎狀")</f>
        <v>獎狀</v>
      </c>
      <c r="H787" s="9"/>
    </row>
    <row r="788">
      <c r="A788" s="13" t="s">
        <v>11</v>
      </c>
      <c r="B788" s="9" t="str">
        <f>IFERROR(__xludf.DUMMYFUNCTION("""COMPUTED_VALUE"""),"梁O承")</f>
        <v>梁O承</v>
      </c>
      <c r="C788" s="9" t="str">
        <f>IFERROR(__xludf.DUMMYFUNCTION("""COMPUTED_VALUE"""),"316*****lvs.tw")</f>
        <v>316*****lvs.tw</v>
      </c>
      <c r="D788" s="9" t="str">
        <f>IFERROR(__xludf.DUMMYFUNCTION("""COMPUTED_VALUE"""),"國立員林高級農工職業學校")</f>
        <v>國立員林高級農工職業學校</v>
      </c>
      <c r="E788" s="9" t="str">
        <f>IFERROR(__xludf.DUMMYFUNCTION("""COMPUTED_VALUE"""),"畜產保健科")</f>
        <v>畜產保健科</v>
      </c>
      <c r="F788" s="9" t="str">
        <f>IFERROR(__xludf.DUMMYFUNCTION("""COMPUTED_VALUE"""),"一年級")</f>
        <v>一年級</v>
      </c>
      <c r="G788" s="9" t="str">
        <f>IFERROR(__xludf.DUMMYFUNCTION("""COMPUTED_VALUE"""),"獎狀")</f>
        <v>獎狀</v>
      </c>
      <c r="H788" s="9"/>
    </row>
    <row r="789">
      <c r="A789" s="13" t="s">
        <v>11</v>
      </c>
      <c r="B789" s="9" t="str">
        <f>IFERROR(__xludf.DUMMYFUNCTION("""COMPUTED_VALUE"""),"劉O程")</f>
        <v>劉O程</v>
      </c>
      <c r="C789" s="9" t="str">
        <f>IFERROR(__xludf.DUMMYFUNCTION("""COMPUTED_VALUE"""),"316*****lvs.tw")</f>
        <v>316*****lvs.tw</v>
      </c>
      <c r="D789" s="9" t="str">
        <f>IFERROR(__xludf.DUMMYFUNCTION("""COMPUTED_VALUE"""),"國立員林高級農工職業學校")</f>
        <v>國立員林高級農工職業學校</v>
      </c>
      <c r="E789" s="9" t="str">
        <f>IFERROR(__xludf.DUMMYFUNCTION("""COMPUTED_VALUE"""),"畜產保健科")</f>
        <v>畜產保健科</v>
      </c>
      <c r="F789" s="9" t="str">
        <f>IFERROR(__xludf.DUMMYFUNCTION("""COMPUTED_VALUE"""),"一年級")</f>
        <v>一年級</v>
      </c>
      <c r="G789" s="9" t="str">
        <f>IFERROR(__xludf.DUMMYFUNCTION("""COMPUTED_VALUE"""),"獎狀")</f>
        <v>獎狀</v>
      </c>
      <c r="H789" s="9"/>
    </row>
    <row r="790">
      <c r="A790" s="13" t="s">
        <v>11</v>
      </c>
      <c r="B790" s="9" t="str">
        <f>IFERROR(__xludf.DUMMYFUNCTION("""COMPUTED_VALUE"""),"鄭O佑")</f>
        <v>鄭O佑</v>
      </c>
      <c r="C790" s="9" t="str">
        <f>IFERROR(__xludf.DUMMYFUNCTION("""COMPUTED_VALUE"""),"316*****lvs.tw")</f>
        <v>316*****lvs.tw</v>
      </c>
      <c r="D790" s="9" t="str">
        <f>IFERROR(__xludf.DUMMYFUNCTION("""COMPUTED_VALUE"""),"國立員林高級農工職業學校")</f>
        <v>國立員林高級農工職業學校</v>
      </c>
      <c r="E790" s="9" t="str">
        <f>IFERROR(__xludf.DUMMYFUNCTION("""COMPUTED_VALUE"""),"畜產保健科")</f>
        <v>畜產保健科</v>
      </c>
      <c r="F790" s="9" t="str">
        <f>IFERROR(__xludf.DUMMYFUNCTION("""COMPUTED_VALUE"""),"一年級")</f>
        <v>一年級</v>
      </c>
      <c r="G790" s="9" t="str">
        <f>IFERROR(__xludf.DUMMYFUNCTION("""COMPUTED_VALUE"""),"■商品卡$200")</f>
        <v>■商品卡$200</v>
      </c>
      <c r="H790" s="9"/>
    </row>
    <row r="791">
      <c r="A791" s="13" t="s">
        <v>11</v>
      </c>
      <c r="B791" s="9" t="str">
        <f>IFERROR(__xludf.DUMMYFUNCTION("""COMPUTED_VALUE"""),"羅O翔")</f>
        <v>羅O翔</v>
      </c>
      <c r="C791" s="9" t="str">
        <f>IFERROR(__xludf.DUMMYFUNCTION("""COMPUTED_VALUE"""),"316*****lvs.tw")</f>
        <v>316*****lvs.tw</v>
      </c>
      <c r="D791" s="9" t="str">
        <f>IFERROR(__xludf.DUMMYFUNCTION("""COMPUTED_VALUE"""),"國立員林高級農工職業學校")</f>
        <v>國立員林高級農工職業學校</v>
      </c>
      <c r="E791" s="9" t="str">
        <f>IFERROR(__xludf.DUMMYFUNCTION("""COMPUTED_VALUE"""),"畜產保健科")</f>
        <v>畜產保健科</v>
      </c>
      <c r="F791" s="9" t="str">
        <f>IFERROR(__xludf.DUMMYFUNCTION("""COMPUTED_VALUE"""),"一年級")</f>
        <v>一年級</v>
      </c>
      <c r="G791" s="9" t="str">
        <f>IFERROR(__xludf.DUMMYFUNCTION("""COMPUTED_VALUE"""),"獎狀")</f>
        <v>獎狀</v>
      </c>
      <c r="H791" s="9"/>
    </row>
    <row r="792">
      <c r="A792" s="13" t="s">
        <v>11</v>
      </c>
      <c r="B792" s="9" t="str">
        <f>IFERROR(__xludf.DUMMYFUNCTION("""COMPUTED_VALUE"""),"黃O雯")</f>
        <v>黃O雯</v>
      </c>
      <c r="C792" s="9" t="str">
        <f>IFERROR(__xludf.DUMMYFUNCTION("""COMPUTED_VALUE"""),"qiw*****ng767@gmail.com")</f>
        <v>qiw*****ng767@gmail.com</v>
      </c>
      <c r="D792" s="9" t="str">
        <f>IFERROR(__xludf.DUMMYFUNCTION("""COMPUTED_VALUE"""),"國立員林高級農工職業學校")</f>
        <v>國立員林高級農工職業學校</v>
      </c>
      <c r="E792" s="9" t="str">
        <f>IFERROR(__xludf.DUMMYFUNCTION("""COMPUTED_VALUE"""),"園藝科")</f>
        <v>園藝科</v>
      </c>
      <c r="F792" s="9" t="str">
        <f>IFERROR(__xludf.DUMMYFUNCTION("""COMPUTED_VALUE"""),"二年級")</f>
        <v>二年級</v>
      </c>
      <c r="G792" s="9" t="str">
        <f>IFERROR(__xludf.DUMMYFUNCTION("""COMPUTED_VALUE"""),"獎狀")</f>
        <v>獎狀</v>
      </c>
      <c r="H792" s="9"/>
    </row>
    <row r="793">
      <c r="A793" s="13" t="s">
        <v>11</v>
      </c>
      <c r="B793" s="9" t="str">
        <f>IFERROR(__xludf.DUMMYFUNCTION("""COMPUTED_VALUE"""),"江O萱")</f>
        <v>江O萱</v>
      </c>
      <c r="C793" s="9" t="str">
        <f>IFERROR(__xludf.DUMMYFUNCTION("""COMPUTED_VALUE"""),"313*****lvs.tw")</f>
        <v>313*****lvs.tw</v>
      </c>
      <c r="D793" s="9" t="str">
        <f>IFERROR(__xludf.DUMMYFUNCTION("""COMPUTED_VALUE"""),"國立員林高級農工職業學校")</f>
        <v>國立員林高級農工職業學校</v>
      </c>
      <c r="E793" s="9" t="str">
        <f>IFERROR(__xludf.DUMMYFUNCTION("""COMPUTED_VALUE"""),"園藝科")</f>
        <v>園藝科</v>
      </c>
      <c r="F793" s="9" t="str">
        <f>IFERROR(__xludf.DUMMYFUNCTION("""COMPUTED_VALUE"""),"二年級")</f>
        <v>二年級</v>
      </c>
      <c r="G793" s="9" t="str">
        <f>IFERROR(__xludf.DUMMYFUNCTION("""COMPUTED_VALUE"""),"獎狀")</f>
        <v>獎狀</v>
      </c>
      <c r="H793" s="9"/>
    </row>
    <row r="794">
      <c r="A794" s="13" t="s">
        <v>11</v>
      </c>
      <c r="B794" s="9" t="str">
        <f>IFERROR(__xludf.DUMMYFUNCTION("""COMPUTED_VALUE"""),"何O婕")</f>
        <v>何O婕</v>
      </c>
      <c r="C794" s="9" t="str">
        <f>IFERROR(__xludf.DUMMYFUNCTION("""COMPUTED_VALUE"""),"213*****lvs.tw")</f>
        <v>213*****lvs.tw</v>
      </c>
      <c r="D794" s="9" t="str">
        <f>IFERROR(__xludf.DUMMYFUNCTION("""COMPUTED_VALUE"""),"國立員林高級農工職業學校")</f>
        <v>國立員林高級農工職業學校</v>
      </c>
      <c r="E794" s="9" t="str">
        <f>IFERROR(__xludf.DUMMYFUNCTION("""COMPUTED_VALUE"""),"園藝科")</f>
        <v>園藝科</v>
      </c>
      <c r="F794" s="9" t="str">
        <f>IFERROR(__xludf.DUMMYFUNCTION("""COMPUTED_VALUE"""),"三年級")</f>
        <v>三年級</v>
      </c>
      <c r="G794" s="9" t="str">
        <f>IFERROR(__xludf.DUMMYFUNCTION("""COMPUTED_VALUE"""),"獎狀")</f>
        <v>獎狀</v>
      </c>
      <c r="H794" s="9"/>
    </row>
    <row r="795">
      <c r="A795" s="13" t="s">
        <v>11</v>
      </c>
      <c r="B795" s="9" t="str">
        <f>IFERROR(__xludf.DUMMYFUNCTION("""COMPUTED_VALUE"""),"徐O軒")</f>
        <v>徐O軒</v>
      </c>
      <c r="C795" s="9" t="str">
        <f>IFERROR(__xludf.DUMMYFUNCTION("""COMPUTED_VALUE"""),"s11*****3@stmail.hhsh.chc.edu.tw")</f>
        <v>s11*****3@stmail.hhsh.chc.edu.tw</v>
      </c>
      <c r="D795" s="9" t="str">
        <f>IFERROR(__xludf.DUMMYFUNCTION("""COMPUTED_VALUE"""),"國立溪湖高級中學")</f>
        <v>國立溪湖高級中學</v>
      </c>
      <c r="E795" s="9" t="str">
        <f>IFERROR(__xludf.DUMMYFUNCTION("""COMPUTED_VALUE"""),"應用英語學程")</f>
        <v>應用英語學程</v>
      </c>
      <c r="F795" s="9" t="str">
        <f>IFERROR(__xludf.DUMMYFUNCTION("""COMPUTED_VALUE"""),"二年級")</f>
        <v>二年級</v>
      </c>
      <c r="G795" s="9" t="str">
        <f>IFERROR(__xludf.DUMMYFUNCTION("""COMPUTED_VALUE"""),"獎狀")</f>
        <v>獎狀</v>
      </c>
      <c r="H795" s="9"/>
    </row>
    <row r="796">
      <c r="A796" s="13" t="s">
        <v>11</v>
      </c>
      <c r="B796" s="9" t="str">
        <f>IFERROR(__xludf.DUMMYFUNCTION("""COMPUTED_VALUE"""),"李O琪")</f>
        <v>李O琪</v>
      </c>
      <c r="C796" s="9" t="str">
        <f>IFERROR(__xludf.DUMMYFUNCTION("""COMPUTED_VALUE"""),"jai*****29@gmail.com")</f>
        <v>jai*****29@gmail.com</v>
      </c>
      <c r="D796" s="9" t="str">
        <f>IFERROR(__xludf.DUMMYFUNCTION("""COMPUTED_VALUE"""),"國立溪湖高級中學")</f>
        <v>國立溪湖高級中學</v>
      </c>
      <c r="E796" s="9" t="str">
        <f>IFERROR(__xludf.DUMMYFUNCTION("""COMPUTED_VALUE"""),"應用英語學程")</f>
        <v>應用英語學程</v>
      </c>
      <c r="F796" s="9" t="str">
        <f>IFERROR(__xludf.DUMMYFUNCTION("""COMPUTED_VALUE"""),"二年級")</f>
        <v>二年級</v>
      </c>
      <c r="G796" s="9" t="str">
        <f>IFERROR(__xludf.DUMMYFUNCTION("""COMPUTED_VALUE"""),"獎狀")</f>
        <v>獎狀</v>
      </c>
      <c r="H796" s="9"/>
    </row>
    <row r="797">
      <c r="A797" s="13" t="s">
        <v>11</v>
      </c>
      <c r="B797" s="9" t="str">
        <f>IFERROR(__xludf.DUMMYFUNCTION("""COMPUTED_VALUE"""),"黃O婷")</f>
        <v>黃O婷</v>
      </c>
      <c r="C797" s="9" t="str">
        <f>IFERROR(__xludf.DUMMYFUNCTION("""COMPUTED_VALUE"""),"s11*****3@stmail.hhsh.chc.edu.tw")</f>
        <v>s11*****3@stmail.hhsh.chc.edu.tw</v>
      </c>
      <c r="D797" s="9" t="str">
        <f>IFERROR(__xludf.DUMMYFUNCTION("""COMPUTED_VALUE"""),"國立溪湖高級中學")</f>
        <v>國立溪湖高級中學</v>
      </c>
      <c r="E797" s="9" t="str">
        <f>IFERROR(__xludf.DUMMYFUNCTION("""COMPUTED_VALUE"""),"應用英語學程")</f>
        <v>應用英語學程</v>
      </c>
      <c r="F797" s="9" t="str">
        <f>IFERROR(__xludf.DUMMYFUNCTION("""COMPUTED_VALUE"""),"二年級")</f>
        <v>二年級</v>
      </c>
      <c r="G797" s="9" t="str">
        <f>IFERROR(__xludf.DUMMYFUNCTION("""COMPUTED_VALUE"""),"獎狀")</f>
        <v>獎狀</v>
      </c>
      <c r="H797" s="9"/>
    </row>
    <row r="798">
      <c r="A798" s="13" t="s">
        <v>11</v>
      </c>
      <c r="B798" s="9" t="str">
        <f>IFERROR(__xludf.DUMMYFUNCTION("""COMPUTED_VALUE"""),"謝O心")</f>
        <v>謝O心</v>
      </c>
      <c r="C798" s="9" t="str">
        <f>IFERROR(__xludf.DUMMYFUNCTION("""COMPUTED_VALUE"""),"s11*****0@stmail.hhsh.chc.edu.tw")</f>
        <v>s11*****0@stmail.hhsh.chc.edu.tw</v>
      </c>
      <c r="D798" s="9" t="str">
        <f>IFERROR(__xludf.DUMMYFUNCTION("""COMPUTED_VALUE"""),"國立溪湖高級中學")</f>
        <v>國立溪湖高級中學</v>
      </c>
      <c r="E798" s="9" t="str">
        <f>IFERROR(__xludf.DUMMYFUNCTION("""COMPUTED_VALUE"""),"應用英語學程")</f>
        <v>應用英語學程</v>
      </c>
      <c r="F798" s="9" t="str">
        <f>IFERROR(__xludf.DUMMYFUNCTION("""COMPUTED_VALUE"""),"二年級")</f>
        <v>二年級</v>
      </c>
      <c r="G798" s="9" t="str">
        <f>IFERROR(__xludf.DUMMYFUNCTION("""COMPUTED_VALUE"""),"獎狀")</f>
        <v>獎狀</v>
      </c>
      <c r="H798" s="9"/>
    </row>
    <row r="799">
      <c r="A799" s="13" t="s">
        <v>11</v>
      </c>
      <c r="B799" s="9" t="str">
        <f>IFERROR(__xludf.DUMMYFUNCTION("""COMPUTED_VALUE"""),"林O妤")</f>
        <v>林O妤</v>
      </c>
      <c r="C799" s="9" t="str">
        <f>IFERROR(__xludf.DUMMYFUNCTION("""COMPUTED_VALUE"""),"s11*****3@stmail.hhsh.chc.edu.tw")</f>
        <v>s11*****3@stmail.hhsh.chc.edu.tw</v>
      </c>
      <c r="D799" s="9" t="str">
        <f>IFERROR(__xludf.DUMMYFUNCTION("""COMPUTED_VALUE"""),"國立溪湖高級中學")</f>
        <v>國立溪湖高級中學</v>
      </c>
      <c r="E799" s="9" t="str">
        <f>IFERROR(__xludf.DUMMYFUNCTION("""COMPUTED_VALUE"""),"應用英語學程")</f>
        <v>應用英語學程</v>
      </c>
      <c r="F799" s="9" t="str">
        <f>IFERROR(__xludf.DUMMYFUNCTION("""COMPUTED_VALUE"""),"二年級")</f>
        <v>二年級</v>
      </c>
      <c r="G799" s="9" t="str">
        <f>IFERROR(__xludf.DUMMYFUNCTION("""COMPUTED_VALUE"""),"獎狀")</f>
        <v>獎狀</v>
      </c>
      <c r="H799" s="9"/>
    </row>
    <row r="800">
      <c r="A800" s="13" t="s">
        <v>11</v>
      </c>
      <c r="B800" s="9" t="str">
        <f>IFERROR(__xludf.DUMMYFUNCTION("""COMPUTED_VALUE"""),"吳O錤")</f>
        <v>吳O錤</v>
      </c>
      <c r="C800" s="9" t="str">
        <f>IFERROR(__xludf.DUMMYFUNCTION("""COMPUTED_VALUE"""),"s11*****8@stmail.hhsh.chc.edu.tw")</f>
        <v>s11*****8@stmail.hhsh.chc.edu.tw</v>
      </c>
      <c r="D800" s="9" t="str">
        <f>IFERROR(__xludf.DUMMYFUNCTION("""COMPUTED_VALUE"""),"國立溪湖高級中學")</f>
        <v>國立溪湖高級中學</v>
      </c>
      <c r="E800" s="9" t="str">
        <f>IFERROR(__xludf.DUMMYFUNCTION("""COMPUTED_VALUE"""),"應用英語學程")</f>
        <v>應用英語學程</v>
      </c>
      <c r="F800" s="9" t="str">
        <f>IFERROR(__xludf.DUMMYFUNCTION("""COMPUTED_VALUE"""),"二年級")</f>
        <v>二年級</v>
      </c>
      <c r="G800" s="9" t="str">
        <f>IFERROR(__xludf.DUMMYFUNCTION("""COMPUTED_VALUE"""),"獎狀")</f>
        <v>獎狀</v>
      </c>
      <c r="H800" s="9"/>
    </row>
    <row r="801">
      <c r="A801" s="13" t="s">
        <v>11</v>
      </c>
      <c r="B801" s="9" t="str">
        <f>IFERROR(__xludf.DUMMYFUNCTION("""COMPUTED_VALUE"""),"蔡O凱")</f>
        <v>蔡O凱</v>
      </c>
      <c r="C801" s="9" t="str">
        <f>IFERROR(__xludf.DUMMYFUNCTION("""COMPUTED_VALUE"""),"s11*****5@stmail.hhsh.chc.edu.tw")</f>
        <v>s11*****5@stmail.hhsh.chc.edu.tw</v>
      </c>
      <c r="D801" s="9" t="str">
        <f>IFERROR(__xludf.DUMMYFUNCTION("""COMPUTED_VALUE"""),"國立溪湖高級中學")</f>
        <v>國立溪湖高級中學</v>
      </c>
      <c r="E801" s="9" t="str">
        <f>IFERROR(__xludf.DUMMYFUNCTION("""COMPUTED_VALUE"""),"應用英語學程")</f>
        <v>應用英語學程</v>
      </c>
      <c r="F801" s="9" t="str">
        <f>IFERROR(__xludf.DUMMYFUNCTION("""COMPUTED_VALUE"""),"二年級")</f>
        <v>二年級</v>
      </c>
      <c r="G801" s="9" t="str">
        <f>IFERROR(__xludf.DUMMYFUNCTION("""COMPUTED_VALUE"""),"獎狀")</f>
        <v>獎狀</v>
      </c>
      <c r="H801" s="9"/>
    </row>
    <row r="802">
      <c r="A802" s="13" t="s">
        <v>11</v>
      </c>
      <c r="B802" s="9" t="str">
        <f>IFERROR(__xludf.DUMMYFUNCTION("""COMPUTED_VALUE"""),"陳O聿")</f>
        <v>陳O聿</v>
      </c>
      <c r="C802" s="9" t="str">
        <f>IFERROR(__xludf.DUMMYFUNCTION("""COMPUTED_VALUE"""),"s11*****3@stmail.hhsh.chc.edu.tw")</f>
        <v>s11*****3@stmail.hhsh.chc.edu.tw</v>
      </c>
      <c r="D802" s="9" t="str">
        <f>IFERROR(__xludf.DUMMYFUNCTION("""COMPUTED_VALUE"""),"國立溪湖高級中學")</f>
        <v>國立溪湖高級中學</v>
      </c>
      <c r="E802" s="9" t="str">
        <f>IFERROR(__xludf.DUMMYFUNCTION("""COMPUTED_VALUE"""),"應英科")</f>
        <v>應英科</v>
      </c>
      <c r="F802" s="9" t="str">
        <f>IFERROR(__xludf.DUMMYFUNCTION("""COMPUTED_VALUE"""),"二年級")</f>
        <v>二年級</v>
      </c>
      <c r="G802" s="9" t="str">
        <f>IFERROR(__xludf.DUMMYFUNCTION("""COMPUTED_VALUE"""),"■商品卡$200")</f>
        <v>■商品卡$200</v>
      </c>
      <c r="H802" s="9"/>
    </row>
    <row r="803">
      <c r="A803" s="13" t="s">
        <v>11</v>
      </c>
      <c r="B803" s="9" t="str">
        <f>IFERROR(__xludf.DUMMYFUNCTION("""COMPUTED_VALUE"""),"林O嫻")</f>
        <v>林O嫻</v>
      </c>
      <c r="C803" s="9" t="str">
        <f>IFERROR(__xludf.DUMMYFUNCTION("""COMPUTED_VALUE"""),"d11*****@tdvs.chc.edu.tw")</f>
        <v>d11*****@tdvs.chc.edu.tw</v>
      </c>
      <c r="D803" s="9" t="str">
        <f>IFERROR(__xludf.DUMMYFUNCTION("""COMPUTED_VALUE"""),"彰化縣私立達德高級商工職業學校")</f>
        <v>彰化縣私立達德高級商工職業學校</v>
      </c>
      <c r="E803" s="9" t="str">
        <f>IFERROR(__xludf.DUMMYFUNCTION("""COMPUTED_VALUE"""),"美容科")</f>
        <v>美容科</v>
      </c>
      <c r="F803" s="9" t="str">
        <f>IFERROR(__xludf.DUMMYFUNCTION("""COMPUTED_VALUE"""),"一年級")</f>
        <v>一年級</v>
      </c>
      <c r="G803" s="9" t="str">
        <f>IFERROR(__xludf.DUMMYFUNCTION("""COMPUTED_VALUE"""),"獎狀")</f>
        <v>獎狀</v>
      </c>
      <c r="H803" s="9"/>
    </row>
    <row r="804">
      <c r="A804" s="13" t="s">
        <v>11</v>
      </c>
      <c r="B804" s="9" t="str">
        <f>IFERROR(__xludf.DUMMYFUNCTION("""COMPUTED_VALUE"""),"林O璇")</f>
        <v>林O璇</v>
      </c>
      <c r="C804" s="9" t="str">
        <f>IFERROR(__xludf.DUMMYFUNCTION("""COMPUTED_VALUE"""),"d11*****@tdvs.chc.edu.tw")</f>
        <v>d11*****@tdvs.chc.edu.tw</v>
      </c>
      <c r="D804" s="9" t="str">
        <f>IFERROR(__xludf.DUMMYFUNCTION("""COMPUTED_VALUE"""),"彰化縣私立達德高級商工職業學校")</f>
        <v>彰化縣私立達德高級商工職業學校</v>
      </c>
      <c r="E804" s="9" t="str">
        <f>IFERROR(__xludf.DUMMYFUNCTION("""COMPUTED_VALUE"""),"美容科")</f>
        <v>美容科</v>
      </c>
      <c r="F804" s="9" t="str">
        <f>IFERROR(__xludf.DUMMYFUNCTION("""COMPUTED_VALUE"""),"一年級")</f>
        <v>一年級</v>
      </c>
      <c r="G804" s="9" t="str">
        <f>IFERROR(__xludf.DUMMYFUNCTION("""COMPUTED_VALUE"""),"獎狀")</f>
        <v>獎狀</v>
      </c>
      <c r="H804" s="9"/>
    </row>
    <row r="805">
      <c r="A805" s="13" t="s">
        <v>11</v>
      </c>
      <c r="B805" s="9" t="str">
        <f>IFERROR(__xludf.DUMMYFUNCTION("""COMPUTED_VALUE"""),"吳O茹")</f>
        <v>吳O茹</v>
      </c>
      <c r="C805" s="9" t="str">
        <f>IFERROR(__xludf.DUMMYFUNCTION("""COMPUTED_VALUE"""),"d11*****@tdvs.chc.edu.tw")</f>
        <v>d11*****@tdvs.chc.edu.tw</v>
      </c>
      <c r="D805" s="9" t="str">
        <f>IFERROR(__xludf.DUMMYFUNCTION("""COMPUTED_VALUE"""),"彰化縣私立達德高級商工職業學校")</f>
        <v>彰化縣私立達德高級商工職業學校</v>
      </c>
      <c r="E805" s="9" t="str">
        <f>IFERROR(__xludf.DUMMYFUNCTION("""COMPUTED_VALUE"""),"美容科")</f>
        <v>美容科</v>
      </c>
      <c r="F805" s="9" t="str">
        <f>IFERROR(__xludf.DUMMYFUNCTION("""COMPUTED_VALUE"""),"一年級")</f>
        <v>一年級</v>
      </c>
      <c r="G805" s="9" t="str">
        <f>IFERROR(__xludf.DUMMYFUNCTION("""COMPUTED_VALUE"""),"獎狀")</f>
        <v>獎狀</v>
      </c>
      <c r="H805" s="9"/>
    </row>
    <row r="806">
      <c r="A806" s="13" t="s">
        <v>11</v>
      </c>
      <c r="B806" s="9" t="str">
        <f>IFERROR(__xludf.DUMMYFUNCTION("""COMPUTED_VALUE"""),"游O琦")</f>
        <v>游O琦</v>
      </c>
      <c r="C806" s="9" t="str">
        <f>IFERROR(__xludf.DUMMYFUNCTION("""COMPUTED_VALUE"""),"pei*****hi@gmail.com")</f>
        <v>pei*****hi@gmail.com</v>
      </c>
      <c r="D806" s="9" t="str">
        <f>IFERROR(__xludf.DUMMYFUNCTION("""COMPUTED_VALUE"""),"彰化縣私立達德高級商工職業學校")</f>
        <v>彰化縣私立達德高級商工職業學校</v>
      </c>
      <c r="E806" s="9" t="str">
        <f>IFERROR(__xludf.DUMMYFUNCTION("""COMPUTED_VALUE"""),"烘培科")</f>
        <v>烘培科</v>
      </c>
      <c r="F806" s="9" t="str">
        <f>IFERROR(__xludf.DUMMYFUNCTION("""COMPUTED_VALUE"""),"一年級")</f>
        <v>一年級</v>
      </c>
      <c r="G806" s="9" t="str">
        <f>IFERROR(__xludf.DUMMYFUNCTION("""COMPUTED_VALUE"""),"獎狀")</f>
        <v>獎狀</v>
      </c>
      <c r="H806" s="9"/>
    </row>
    <row r="807">
      <c r="A807" s="13" t="s">
        <v>11</v>
      </c>
      <c r="B807" s="9" t="str">
        <f>IFERROR(__xludf.DUMMYFUNCTION("""COMPUTED_VALUE"""),"吳O儀")</f>
        <v>吳O儀</v>
      </c>
      <c r="C807" s="9" t="str">
        <f>IFERROR(__xludf.DUMMYFUNCTION("""COMPUTED_VALUE"""),"a09*****589@gmail.com")</f>
        <v>a09*****589@gmail.com</v>
      </c>
      <c r="D807" s="9" t="str">
        <f>IFERROR(__xludf.DUMMYFUNCTION("""COMPUTED_VALUE"""),"彰化縣私立達德高級商工職業學校")</f>
        <v>彰化縣私立達德高級商工職業學校</v>
      </c>
      <c r="E807" s="9" t="str">
        <f>IFERROR(__xludf.DUMMYFUNCTION("""COMPUTED_VALUE"""),"烘培科")</f>
        <v>烘培科</v>
      </c>
      <c r="F807" s="9" t="str">
        <f>IFERROR(__xludf.DUMMYFUNCTION("""COMPUTED_VALUE"""),"一年級")</f>
        <v>一年級</v>
      </c>
      <c r="G807" s="9" t="str">
        <f>IFERROR(__xludf.DUMMYFUNCTION("""COMPUTED_VALUE"""),"獎狀")</f>
        <v>獎狀</v>
      </c>
      <c r="H807" s="9"/>
    </row>
    <row r="808">
      <c r="A808" s="13" t="s">
        <v>11</v>
      </c>
      <c r="B808" s="9" t="str">
        <f>IFERROR(__xludf.DUMMYFUNCTION("""COMPUTED_VALUE"""),"陳O倢")</f>
        <v>陳O倢</v>
      </c>
      <c r="C808" s="9" t="str">
        <f>IFERROR(__xludf.DUMMYFUNCTION("""COMPUTED_VALUE"""),"aa0*****8676@gmail.com")</f>
        <v>aa0*****8676@gmail.com</v>
      </c>
      <c r="D808" s="9" t="str">
        <f>IFERROR(__xludf.DUMMYFUNCTION("""COMPUTED_VALUE"""),"彰化縣私立達德高級商工職業學校")</f>
        <v>彰化縣私立達德高級商工職業學校</v>
      </c>
      <c r="E808" s="9" t="str">
        <f>IFERROR(__xludf.DUMMYFUNCTION("""COMPUTED_VALUE"""),"烘培科")</f>
        <v>烘培科</v>
      </c>
      <c r="F808" s="9" t="str">
        <f>IFERROR(__xludf.DUMMYFUNCTION("""COMPUTED_VALUE"""),"一年級")</f>
        <v>一年級</v>
      </c>
      <c r="G808" s="9" t="str">
        <f>IFERROR(__xludf.DUMMYFUNCTION("""COMPUTED_VALUE"""),"獎狀")</f>
        <v>獎狀</v>
      </c>
      <c r="H808" s="9"/>
    </row>
    <row r="809">
      <c r="A809" s="13" t="s">
        <v>11</v>
      </c>
      <c r="B809" s="9" t="str">
        <f>IFERROR(__xludf.DUMMYFUNCTION("""COMPUTED_VALUE"""),"楊O涓")</f>
        <v>楊O涓</v>
      </c>
      <c r="C809" s="9" t="str">
        <f>IFERROR(__xludf.DUMMYFUNCTION("""COMPUTED_VALUE"""),"d11*****@tdvs.chc.edu.tw")</f>
        <v>d11*****@tdvs.chc.edu.tw</v>
      </c>
      <c r="D809" s="9" t="str">
        <f>IFERROR(__xludf.DUMMYFUNCTION("""COMPUTED_VALUE"""),"彰化縣私立達德高級商工職業學校")</f>
        <v>彰化縣私立達德高級商工職業學校</v>
      </c>
      <c r="E809" s="9" t="str">
        <f>IFERROR(__xludf.DUMMYFUNCTION("""COMPUTED_VALUE"""),"烘培科")</f>
        <v>烘培科</v>
      </c>
      <c r="F809" s="9" t="str">
        <f>IFERROR(__xludf.DUMMYFUNCTION("""COMPUTED_VALUE"""),"一年級")</f>
        <v>一年級</v>
      </c>
      <c r="G809" s="9" t="str">
        <f>IFERROR(__xludf.DUMMYFUNCTION("""COMPUTED_VALUE"""),"■商品卡$200")</f>
        <v>■商品卡$200</v>
      </c>
      <c r="H809" s="9"/>
    </row>
    <row r="810">
      <c r="A810" s="13" t="s">
        <v>11</v>
      </c>
      <c r="B810" s="9" t="str">
        <f>IFERROR(__xludf.DUMMYFUNCTION("""COMPUTED_VALUE"""),"林O叡")</f>
        <v>林O叡</v>
      </c>
      <c r="C810" s="9" t="str">
        <f>IFERROR(__xludf.DUMMYFUNCTION("""COMPUTED_VALUE"""),"and*****1212@gmail.com")</f>
        <v>and*****1212@gmail.com</v>
      </c>
      <c r="D810" s="9" t="str">
        <f>IFERROR(__xludf.DUMMYFUNCTION("""COMPUTED_VALUE"""),"彰化縣私立達德高級商工職業學校")</f>
        <v>彰化縣私立達德高級商工職業學校</v>
      </c>
      <c r="E810" s="9" t="str">
        <f>IFERROR(__xludf.DUMMYFUNCTION("""COMPUTED_VALUE"""),"烘培科")</f>
        <v>烘培科</v>
      </c>
      <c r="F810" s="9" t="str">
        <f>IFERROR(__xludf.DUMMYFUNCTION("""COMPUTED_VALUE"""),"一年級")</f>
        <v>一年級</v>
      </c>
      <c r="G810" s="9" t="str">
        <f>IFERROR(__xludf.DUMMYFUNCTION("""COMPUTED_VALUE"""),"獎狀")</f>
        <v>獎狀</v>
      </c>
      <c r="H810" s="9"/>
    </row>
    <row r="811">
      <c r="A811" s="13" t="s">
        <v>11</v>
      </c>
      <c r="B811" s="9" t="str">
        <f>IFERROR(__xludf.DUMMYFUNCTION("""COMPUTED_VALUE"""),"陳O志")</f>
        <v>陳O志</v>
      </c>
      <c r="C811" s="9" t="str">
        <f>IFERROR(__xludf.DUMMYFUNCTION("""COMPUTED_VALUE"""),"a09*****536@gmail.com")</f>
        <v>a09*****536@gmail.com</v>
      </c>
      <c r="D811" s="9" t="str">
        <f>IFERROR(__xludf.DUMMYFUNCTION("""COMPUTED_VALUE"""),"彰化縣私立達德高級商工職業學校")</f>
        <v>彰化縣私立達德高級商工職業學校</v>
      </c>
      <c r="E811" s="9" t="str">
        <f>IFERROR(__xludf.DUMMYFUNCTION("""COMPUTED_VALUE"""),"烘培科")</f>
        <v>烘培科</v>
      </c>
      <c r="F811" s="9" t="str">
        <f>IFERROR(__xludf.DUMMYFUNCTION("""COMPUTED_VALUE"""),"一年級")</f>
        <v>一年級</v>
      </c>
      <c r="G811" s="9" t="str">
        <f>IFERROR(__xludf.DUMMYFUNCTION("""COMPUTED_VALUE"""),"獎狀")</f>
        <v>獎狀</v>
      </c>
      <c r="H811" s="9"/>
    </row>
    <row r="812">
      <c r="A812" s="13" t="s">
        <v>11</v>
      </c>
      <c r="B812" s="9" t="str">
        <f>IFERROR(__xludf.DUMMYFUNCTION("""COMPUTED_VALUE"""),"許O庭")</f>
        <v>許O庭</v>
      </c>
      <c r="C812" s="9" t="str">
        <f>IFERROR(__xludf.DUMMYFUNCTION("""COMPUTED_VALUE"""),"097*****98lily@gmail.com")</f>
        <v>097*****98lily@gmail.com</v>
      </c>
      <c r="D812" s="9" t="str">
        <f>IFERROR(__xludf.DUMMYFUNCTION("""COMPUTED_VALUE"""),"彰化縣私立達德高級商工職業學校")</f>
        <v>彰化縣私立達德高級商工職業學校</v>
      </c>
      <c r="E812" s="9" t="str">
        <f>IFERROR(__xludf.DUMMYFUNCTION("""COMPUTED_VALUE"""),"烘培科")</f>
        <v>烘培科</v>
      </c>
      <c r="F812" s="9" t="str">
        <f>IFERROR(__xludf.DUMMYFUNCTION("""COMPUTED_VALUE"""),"一年級")</f>
        <v>一年級</v>
      </c>
      <c r="G812" s="9" t="str">
        <f>IFERROR(__xludf.DUMMYFUNCTION("""COMPUTED_VALUE"""),"獎狀")</f>
        <v>獎狀</v>
      </c>
      <c r="H812" s="9"/>
    </row>
    <row r="813">
      <c r="A813" s="13" t="s">
        <v>11</v>
      </c>
      <c r="B813" s="9" t="str">
        <f>IFERROR(__xludf.DUMMYFUNCTION("""COMPUTED_VALUE"""),"廖O晨")</f>
        <v>廖O晨</v>
      </c>
      <c r="C813" s="9" t="str">
        <f>IFERROR(__xludf.DUMMYFUNCTION("""COMPUTED_VALUE"""),"a09*****059@gmail.com")</f>
        <v>a09*****059@gmail.com</v>
      </c>
      <c r="D813" s="9" t="str">
        <f>IFERROR(__xludf.DUMMYFUNCTION("""COMPUTED_VALUE"""),"彰化縣私立達德高級商工職業學校")</f>
        <v>彰化縣私立達德高級商工職業學校</v>
      </c>
      <c r="E813" s="9" t="str">
        <f>IFERROR(__xludf.DUMMYFUNCTION("""COMPUTED_VALUE"""),"烘培科")</f>
        <v>烘培科</v>
      </c>
      <c r="F813" s="9" t="str">
        <f>IFERROR(__xludf.DUMMYFUNCTION("""COMPUTED_VALUE"""),"一年級")</f>
        <v>一年級</v>
      </c>
      <c r="G813" s="9" t="str">
        <f>IFERROR(__xludf.DUMMYFUNCTION("""COMPUTED_VALUE"""),"獎狀")</f>
        <v>獎狀</v>
      </c>
      <c r="H813" s="9"/>
    </row>
    <row r="814">
      <c r="A814" s="13" t="s">
        <v>11</v>
      </c>
      <c r="B814" s="9" t="str">
        <f>IFERROR(__xludf.DUMMYFUNCTION("""COMPUTED_VALUE"""),"劉O圻")</f>
        <v>劉O圻</v>
      </c>
      <c r="C814" s="9" t="str">
        <f>IFERROR(__xludf.DUMMYFUNCTION("""COMPUTED_VALUE"""),"wli*****@gmail.com")</f>
        <v>wli*****@gmail.com</v>
      </c>
      <c r="D814" s="9" t="str">
        <f>IFERROR(__xludf.DUMMYFUNCTION("""COMPUTED_VALUE"""),"彰化縣私立達德高級商工職業學校")</f>
        <v>彰化縣私立達德高級商工職業學校</v>
      </c>
      <c r="E814" s="9" t="str">
        <f>IFERROR(__xludf.DUMMYFUNCTION("""COMPUTED_VALUE"""),"烘培科")</f>
        <v>烘培科</v>
      </c>
      <c r="F814" s="9" t="str">
        <f>IFERROR(__xludf.DUMMYFUNCTION("""COMPUTED_VALUE"""),"一年級")</f>
        <v>一年級</v>
      </c>
      <c r="G814" s="9" t="str">
        <f>IFERROR(__xludf.DUMMYFUNCTION("""COMPUTED_VALUE"""),"★商品卡$1000")</f>
        <v>★商品卡$1000</v>
      </c>
      <c r="H814" s="9"/>
    </row>
    <row r="815">
      <c r="A815" s="13" t="s">
        <v>11</v>
      </c>
      <c r="B815" s="9" t="str">
        <f>IFERROR(__xludf.DUMMYFUNCTION("""COMPUTED_VALUE"""),"陳O慈")</f>
        <v>陳O慈</v>
      </c>
      <c r="C815" s="9" t="str">
        <f>IFERROR(__xludf.DUMMYFUNCTION("""COMPUTED_VALUE"""),"ny2*****07@gmail.com")</f>
        <v>ny2*****07@gmail.com</v>
      </c>
      <c r="D815" s="9" t="str">
        <f>IFERROR(__xludf.DUMMYFUNCTION("""COMPUTED_VALUE"""),"彰化縣私立達德高級商工職業學校")</f>
        <v>彰化縣私立達德高級商工職業學校</v>
      </c>
      <c r="E815" s="9" t="str">
        <f>IFERROR(__xludf.DUMMYFUNCTION("""COMPUTED_VALUE"""),"烘培科")</f>
        <v>烘培科</v>
      </c>
      <c r="F815" s="9" t="str">
        <f>IFERROR(__xludf.DUMMYFUNCTION("""COMPUTED_VALUE"""),"一年級")</f>
        <v>一年級</v>
      </c>
      <c r="G815" s="9" t="str">
        <f>IFERROR(__xludf.DUMMYFUNCTION("""COMPUTED_VALUE"""),"獎狀")</f>
        <v>獎狀</v>
      </c>
      <c r="H815" s="9"/>
    </row>
    <row r="816">
      <c r="A816" s="13" t="s">
        <v>11</v>
      </c>
      <c r="B816" s="9" t="str">
        <f>IFERROR(__xludf.DUMMYFUNCTION("""COMPUTED_VALUE"""),"李O柔")</f>
        <v>李O柔</v>
      </c>
      <c r="C816" s="9" t="str">
        <f>IFERROR(__xludf.DUMMYFUNCTION("""COMPUTED_VALUE"""),"yur*****59@gmail.com")</f>
        <v>yur*****59@gmail.com</v>
      </c>
      <c r="D816" s="9" t="str">
        <f>IFERROR(__xludf.DUMMYFUNCTION("""COMPUTED_VALUE"""),"彰化縣私立達德高級商工職業學校")</f>
        <v>彰化縣私立達德高級商工職業學校</v>
      </c>
      <c r="E816" s="9" t="str">
        <f>IFERROR(__xludf.DUMMYFUNCTION("""COMPUTED_VALUE"""),"烘培科")</f>
        <v>烘培科</v>
      </c>
      <c r="F816" s="9" t="str">
        <f>IFERROR(__xludf.DUMMYFUNCTION("""COMPUTED_VALUE"""),"一年級")</f>
        <v>一年級</v>
      </c>
      <c r="G816" s="9" t="str">
        <f>IFERROR(__xludf.DUMMYFUNCTION("""COMPUTED_VALUE"""),"獎狀")</f>
        <v>獎狀</v>
      </c>
      <c r="H816" s="9"/>
    </row>
    <row r="817">
      <c r="A817" s="13" t="s">
        <v>11</v>
      </c>
      <c r="B817" s="9" t="str">
        <f>IFERROR(__xludf.DUMMYFUNCTION("""COMPUTED_VALUE"""),"李O珊")</f>
        <v>李O珊</v>
      </c>
      <c r="C817" s="9" t="str">
        <f>IFERROR(__xludf.DUMMYFUNCTION("""COMPUTED_VALUE"""),"an8*****4@gmail.com")</f>
        <v>an8*****4@gmail.com</v>
      </c>
      <c r="D817" s="9" t="str">
        <f>IFERROR(__xludf.DUMMYFUNCTION("""COMPUTED_VALUE"""),"彰化縣私立達德高級商工職業學校")</f>
        <v>彰化縣私立達德高級商工職業學校</v>
      </c>
      <c r="E817" s="9" t="str">
        <f>IFERROR(__xludf.DUMMYFUNCTION("""COMPUTED_VALUE"""),"烘培科")</f>
        <v>烘培科</v>
      </c>
      <c r="F817" s="9" t="str">
        <f>IFERROR(__xludf.DUMMYFUNCTION("""COMPUTED_VALUE"""),"一年級")</f>
        <v>一年級</v>
      </c>
      <c r="G817" s="9" t="str">
        <f>IFERROR(__xludf.DUMMYFUNCTION("""COMPUTED_VALUE"""),"獎狀")</f>
        <v>獎狀</v>
      </c>
      <c r="H817" s="9"/>
    </row>
    <row r="818">
      <c r="A818" s="13" t="s">
        <v>11</v>
      </c>
      <c r="B818" s="9" t="str">
        <f>IFERROR(__xludf.DUMMYFUNCTION("""COMPUTED_VALUE"""),"柳O華")</f>
        <v>柳O華</v>
      </c>
      <c r="C818" s="9" t="str">
        <f>IFERROR(__xludf.DUMMYFUNCTION("""COMPUTED_VALUE"""),"d11*****@tdvs.chc.edu.tw")</f>
        <v>d11*****@tdvs.chc.edu.tw</v>
      </c>
      <c r="D818" s="9" t="str">
        <f>IFERROR(__xludf.DUMMYFUNCTION("""COMPUTED_VALUE"""),"彰化縣私立達德高級商工職業學校")</f>
        <v>彰化縣私立達德高級商工職業學校</v>
      </c>
      <c r="E818" s="9" t="str">
        <f>IFERROR(__xludf.DUMMYFUNCTION("""COMPUTED_VALUE"""),"烘培科")</f>
        <v>烘培科</v>
      </c>
      <c r="F818" s="9" t="str">
        <f>IFERROR(__xludf.DUMMYFUNCTION("""COMPUTED_VALUE"""),"一年級")</f>
        <v>一年級</v>
      </c>
      <c r="G818" s="9" t="str">
        <f>IFERROR(__xludf.DUMMYFUNCTION("""COMPUTED_VALUE"""),"■商品卡$200")</f>
        <v>■商品卡$200</v>
      </c>
      <c r="H818" s="9"/>
    </row>
    <row r="819">
      <c r="A819" s="13" t="s">
        <v>11</v>
      </c>
      <c r="B819" s="9" t="str">
        <f>IFERROR(__xludf.DUMMYFUNCTION("""COMPUTED_VALUE"""),"卓O炘")</f>
        <v>卓O炘</v>
      </c>
      <c r="C819" s="9" t="str">
        <f>IFERROR(__xludf.DUMMYFUNCTION("""COMPUTED_VALUE"""),"d11*****@tdvs.chc.edu.tw")</f>
        <v>d11*****@tdvs.chc.edu.tw</v>
      </c>
      <c r="D819" s="9" t="str">
        <f>IFERROR(__xludf.DUMMYFUNCTION("""COMPUTED_VALUE"""),"彰化縣私立達德高級商工職業學校")</f>
        <v>彰化縣私立達德高級商工職業學校</v>
      </c>
      <c r="E819" s="9" t="str">
        <f>IFERROR(__xludf.DUMMYFUNCTION("""COMPUTED_VALUE"""),"烘培科")</f>
        <v>烘培科</v>
      </c>
      <c r="F819" s="9" t="str">
        <f>IFERROR(__xludf.DUMMYFUNCTION("""COMPUTED_VALUE"""),"二年級")</f>
        <v>二年級</v>
      </c>
      <c r="G819" s="9" t="str">
        <f>IFERROR(__xludf.DUMMYFUNCTION("""COMPUTED_VALUE"""),"獎狀")</f>
        <v>獎狀</v>
      </c>
      <c r="H819" s="9"/>
    </row>
    <row r="820">
      <c r="A820" s="13" t="s">
        <v>11</v>
      </c>
      <c r="B820" s="9" t="str">
        <f>IFERROR(__xludf.DUMMYFUNCTION("""COMPUTED_VALUE"""),"許O恩")</f>
        <v>許O恩</v>
      </c>
      <c r="C820" s="9" t="str">
        <f>IFERROR(__xludf.DUMMYFUNCTION("""COMPUTED_VALUE"""),"d11*****@tdvs.chc.edu.tw")</f>
        <v>d11*****@tdvs.chc.edu.tw</v>
      </c>
      <c r="D820" s="9" t="str">
        <f>IFERROR(__xludf.DUMMYFUNCTION("""COMPUTED_VALUE"""),"彰化縣私立達德高級商工職業學校")</f>
        <v>彰化縣私立達德高級商工職業學校</v>
      </c>
      <c r="E820" s="9" t="str">
        <f>IFERROR(__xludf.DUMMYFUNCTION("""COMPUTED_VALUE"""),"烘培科")</f>
        <v>烘培科</v>
      </c>
      <c r="F820" s="9" t="str">
        <f>IFERROR(__xludf.DUMMYFUNCTION("""COMPUTED_VALUE"""),"二年級")</f>
        <v>二年級</v>
      </c>
      <c r="G820" s="9" t="str">
        <f>IFERROR(__xludf.DUMMYFUNCTION("""COMPUTED_VALUE"""),"獎狀")</f>
        <v>獎狀</v>
      </c>
      <c r="H820" s="9"/>
    </row>
    <row r="821">
      <c r="A821" s="13" t="s">
        <v>11</v>
      </c>
      <c r="B821" s="9" t="str">
        <f>IFERROR(__xludf.DUMMYFUNCTION("""COMPUTED_VALUE"""),"黃O梓")</f>
        <v>黃O梓</v>
      </c>
      <c r="C821" s="9" t="str">
        <f>IFERROR(__xludf.DUMMYFUNCTION("""COMPUTED_VALUE"""),"d11*****@tdvs.chc.edu.tw")</f>
        <v>d11*****@tdvs.chc.edu.tw</v>
      </c>
      <c r="D821" s="9" t="str">
        <f>IFERROR(__xludf.DUMMYFUNCTION("""COMPUTED_VALUE"""),"彰化縣私立達德高級商工職業學校")</f>
        <v>彰化縣私立達德高級商工職業學校</v>
      </c>
      <c r="E821" s="9" t="str">
        <f>IFERROR(__xludf.DUMMYFUNCTION("""COMPUTED_VALUE"""),"烘培科")</f>
        <v>烘培科</v>
      </c>
      <c r="F821" s="9" t="str">
        <f>IFERROR(__xludf.DUMMYFUNCTION("""COMPUTED_VALUE"""),"二年級")</f>
        <v>二年級</v>
      </c>
      <c r="G821" s="9" t="str">
        <f>IFERROR(__xludf.DUMMYFUNCTION("""COMPUTED_VALUE"""),"獎狀")</f>
        <v>獎狀</v>
      </c>
      <c r="H821" s="9"/>
    </row>
    <row r="822">
      <c r="A822" s="13" t="s">
        <v>11</v>
      </c>
      <c r="B822" s="9" t="str">
        <f>IFERROR(__xludf.DUMMYFUNCTION("""COMPUTED_VALUE"""),"郭O凱")</f>
        <v>郭O凱</v>
      </c>
      <c r="C822" s="9" t="str">
        <f>IFERROR(__xludf.DUMMYFUNCTION("""COMPUTED_VALUE"""),"d11*****@tdvs.chc.edu.tw")</f>
        <v>d11*****@tdvs.chc.edu.tw</v>
      </c>
      <c r="D822" s="9" t="str">
        <f>IFERROR(__xludf.DUMMYFUNCTION("""COMPUTED_VALUE"""),"彰化縣私立達德高級商工職業學校")</f>
        <v>彰化縣私立達德高級商工職業學校</v>
      </c>
      <c r="E822" s="9" t="str">
        <f>IFERROR(__xludf.DUMMYFUNCTION("""COMPUTED_VALUE"""),"烘培科")</f>
        <v>烘培科</v>
      </c>
      <c r="F822" s="9" t="str">
        <f>IFERROR(__xludf.DUMMYFUNCTION("""COMPUTED_VALUE"""),"二年級")</f>
        <v>二年級</v>
      </c>
      <c r="G822" s="9" t="str">
        <f>IFERROR(__xludf.DUMMYFUNCTION("""COMPUTED_VALUE"""),"獎狀")</f>
        <v>獎狀</v>
      </c>
      <c r="H822" s="9"/>
    </row>
    <row r="823">
      <c r="A823" s="13" t="s">
        <v>11</v>
      </c>
      <c r="B823" s="9" t="str">
        <f>IFERROR(__xludf.DUMMYFUNCTION("""COMPUTED_VALUE"""),"陳O娸")</f>
        <v>陳O娸</v>
      </c>
      <c r="C823" s="9" t="str">
        <f>IFERROR(__xludf.DUMMYFUNCTION("""COMPUTED_VALUE"""),"d11*****@tdvs.chc.edu.tw")</f>
        <v>d11*****@tdvs.chc.edu.tw</v>
      </c>
      <c r="D823" s="9" t="str">
        <f>IFERROR(__xludf.DUMMYFUNCTION("""COMPUTED_VALUE"""),"彰化縣私立達德高級商工職業學校")</f>
        <v>彰化縣私立達德高級商工職業學校</v>
      </c>
      <c r="E823" s="9" t="str">
        <f>IFERROR(__xludf.DUMMYFUNCTION("""COMPUTED_VALUE"""),"烘培科")</f>
        <v>烘培科</v>
      </c>
      <c r="F823" s="9" t="str">
        <f>IFERROR(__xludf.DUMMYFUNCTION("""COMPUTED_VALUE"""),"二年級")</f>
        <v>二年級</v>
      </c>
      <c r="G823" s="9" t="str">
        <f>IFERROR(__xludf.DUMMYFUNCTION("""COMPUTED_VALUE"""),"★商品卡$1000")</f>
        <v>★商品卡$1000</v>
      </c>
      <c r="H823" s="9"/>
    </row>
    <row r="824">
      <c r="A824" s="13" t="s">
        <v>11</v>
      </c>
      <c r="B824" s="9" t="str">
        <f>IFERROR(__xludf.DUMMYFUNCTION("""COMPUTED_VALUE"""),"黃O錦")</f>
        <v>黃O錦</v>
      </c>
      <c r="C824" s="9" t="str">
        <f>IFERROR(__xludf.DUMMYFUNCTION("""COMPUTED_VALUE"""),"d11*****@tdvs.chc.edu.tw")</f>
        <v>d11*****@tdvs.chc.edu.tw</v>
      </c>
      <c r="D824" s="9" t="str">
        <f>IFERROR(__xludf.DUMMYFUNCTION("""COMPUTED_VALUE"""),"彰化縣私立達德高級商工職業學校")</f>
        <v>彰化縣私立達德高級商工職業學校</v>
      </c>
      <c r="E824" s="9" t="str">
        <f>IFERROR(__xludf.DUMMYFUNCTION("""COMPUTED_VALUE"""),"烘培科")</f>
        <v>烘培科</v>
      </c>
      <c r="F824" s="9" t="str">
        <f>IFERROR(__xludf.DUMMYFUNCTION("""COMPUTED_VALUE"""),"二年級")</f>
        <v>二年級</v>
      </c>
      <c r="G824" s="9" t="str">
        <f>IFERROR(__xludf.DUMMYFUNCTION("""COMPUTED_VALUE"""),"獎狀")</f>
        <v>獎狀</v>
      </c>
      <c r="H824" s="9"/>
    </row>
    <row r="825">
      <c r="A825" s="13" t="s">
        <v>11</v>
      </c>
      <c r="B825" s="9" t="str">
        <f>IFERROR(__xludf.DUMMYFUNCTION("""COMPUTED_VALUE"""),"陳O吟")</f>
        <v>陳O吟</v>
      </c>
      <c r="C825" s="9" t="str">
        <f>IFERROR(__xludf.DUMMYFUNCTION("""COMPUTED_VALUE"""),"d11*****@tdvs.chc.edu.tw")</f>
        <v>d11*****@tdvs.chc.edu.tw</v>
      </c>
      <c r="D825" s="9" t="str">
        <f>IFERROR(__xludf.DUMMYFUNCTION("""COMPUTED_VALUE"""),"彰化縣私立達德高級商工職業學校")</f>
        <v>彰化縣私立達德高級商工職業學校</v>
      </c>
      <c r="E825" s="9" t="str">
        <f>IFERROR(__xludf.DUMMYFUNCTION("""COMPUTED_VALUE"""),"烘培科")</f>
        <v>烘培科</v>
      </c>
      <c r="F825" s="9" t="str">
        <f>IFERROR(__xludf.DUMMYFUNCTION("""COMPUTED_VALUE"""),"二年級")</f>
        <v>二年級</v>
      </c>
      <c r="G825" s="9" t="str">
        <f>IFERROR(__xludf.DUMMYFUNCTION("""COMPUTED_VALUE"""),"獎狀")</f>
        <v>獎狀</v>
      </c>
      <c r="H825" s="9"/>
    </row>
    <row r="826">
      <c r="A826" s="13" t="s">
        <v>11</v>
      </c>
      <c r="B826" s="9" t="str">
        <f>IFERROR(__xludf.DUMMYFUNCTION("""COMPUTED_VALUE"""),"張O辰")</f>
        <v>張O辰</v>
      </c>
      <c r="C826" s="9" t="str">
        <f>IFERROR(__xludf.DUMMYFUNCTION("""COMPUTED_VALUE"""),"d11*****@tdvs.chc.edu.tw")</f>
        <v>d11*****@tdvs.chc.edu.tw</v>
      </c>
      <c r="D826" s="9" t="str">
        <f>IFERROR(__xludf.DUMMYFUNCTION("""COMPUTED_VALUE"""),"彰化縣私立達德高級商工職業學校")</f>
        <v>彰化縣私立達德高級商工職業學校</v>
      </c>
      <c r="E826" s="9" t="str">
        <f>IFERROR(__xludf.DUMMYFUNCTION("""COMPUTED_VALUE"""),"烘培科")</f>
        <v>烘培科</v>
      </c>
      <c r="F826" s="9" t="str">
        <f>IFERROR(__xludf.DUMMYFUNCTION("""COMPUTED_VALUE"""),"二年級")</f>
        <v>二年級</v>
      </c>
      <c r="G826" s="9" t="str">
        <f>IFERROR(__xludf.DUMMYFUNCTION("""COMPUTED_VALUE"""),"獎狀")</f>
        <v>獎狀</v>
      </c>
      <c r="H826" s="9"/>
    </row>
    <row r="827">
      <c r="A827" s="13" t="s">
        <v>11</v>
      </c>
      <c r="B827" s="9" t="str">
        <f>IFERROR(__xludf.DUMMYFUNCTION("""COMPUTED_VALUE"""),"邱O涵")</f>
        <v>邱O涵</v>
      </c>
      <c r="C827" s="9" t="str">
        <f>IFERROR(__xludf.DUMMYFUNCTION("""COMPUTED_VALUE"""),"kai*****g87@gmail.com")</f>
        <v>kai*****g87@gmail.com</v>
      </c>
      <c r="D827" s="9" t="str">
        <f>IFERROR(__xludf.DUMMYFUNCTION("""COMPUTED_VALUE"""),"彰化縣私立達德高級商工職業學校")</f>
        <v>彰化縣私立達德高級商工職業學校</v>
      </c>
      <c r="E827" s="9" t="str">
        <f>IFERROR(__xludf.DUMMYFUNCTION("""COMPUTED_VALUE"""),"烘培科")</f>
        <v>烘培科</v>
      </c>
      <c r="F827" s="9" t="str">
        <f>IFERROR(__xludf.DUMMYFUNCTION("""COMPUTED_VALUE"""),"二年級")</f>
        <v>二年級</v>
      </c>
      <c r="G827" s="9" t="str">
        <f>IFERROR(__xludf.DUMMYFUNCTION("""COMPUTED_VALUE"""),"獎狀")</f>
        <v>獎狀</v>
      </c>
      <c r="H827" s="9"/>
    </row>
    <row r="828">
      <c r="A828" s="13" t="s">
        <v>11</v>
      </c>
      <c r="B828" s="9" t="str">
        <f>IFERROR(__xludf.DUMMYFUNCTION("""COMPUTED_VALUE"""),"陳O瑄")</f>
        <v>陳O瑄</v>
      </c>
      <c r="C828" s="9" t="str">
        <f>IFERROR(__xludf.DUMMYFUNCTION("""COMPUTED_VALUE"""),"d11*****@tdvs.chc.edu.tw")</f>
        <v>d11*****@tdvs.chc.edu.tw</v>
      </c>
      <c r="D828" s="9" t="str">
        <f>IFERROR(__xludf.DUMMYFUNCTION("""COMPUTED_VALUE"""),"彰化縣私立達德高級商工職業學校")</f>
        <v>彰化縣私立達德高級商工職業學校</v>
      </c>
      <c r="E828" s="9" t="str">
        <f>IFERROR(__xludf.DUMMYFUNCTION("""COMPUTED_VALUE"""),"烘培科")</f>
        <v>烘培科</v>
      </c>
      <c r="F828" s="9" t="str">
        <f>IFERROR(__xludf.DUMMYFUNCTION("""COMPUTED_VALUE"""),"二年級")</f>
        <v>二年級</v>
      </c>
      <c r="G828" s="9" t="str">
        <f>IFERROR(__xludf.DUMMYFUNCTION("""COMPUTED_VALUE"""),"獎狀")</f>
        <v>獎狀</v>
      </c>
      <c r="H828" s="9"/>
    </row>
    <row r="829">
      <c r="A829" s="13" t="s">
        <v>11</v>
      </c>
      <c r="B829" s="9" t="str">
        <f>IFERROR(__xludf.DUMMYFUNCTION("""COMPUTED_VALUE"""),"郭O琳")</f>
        <v>郭O琳</v>
      </c>
      <c r="C829" s="9" t="str">
        <f>IFERROR(__xludf.DUMMYFUNCTION("""COMPUTED_VALUE"""),"guo*****n927@gmail.com")</f>
        <v>guo*****n927@gmail.com</v>
      </c>
      <c r="D829" s="9" t="str">
        <f>IFERROR(__xludf.DUMMYFUNCTION("""COMPUTED_VALUE"""),"彰化縣私立達德高級商工職業學校")</f>
        <v>彰化縣私立達德高級商工職業學校</v>
      </c>
      <c r="E829" s="9" t="str">
        <f>IFERROR(__xludf.DUMMYFUNCTION("""COMPUTED_VALUE"""),"烘培科")</f>
        <v>烘培科</v>
      </c>
      <c r="F829" s="9" t="str">
        <f>IFERROR(__xludf.DUMMYFUNCTION("""COMPUTED_VALUE"""),"二年級")</f>
        <v>二年級</v>
      </c>
      <c r="G829" s="9" t="str">
        <f>IFERROR(__xludf.DUMMYFUNCTION("""COMPUTED_VALUE"""),"獎狀")</f>
        <v>獎狀</v>
      </c>
      <c r="H829" s="9"/>
    </row>
    <row r="830">
      <c r="A830" s="13" t="s">
        <v>11</v>
      </c>
      <c r="B830" s="9" t="str">
        <f>IFERROR(__xludf.DUMMYFUNCTION("""COMPUTED_VALUE"""),"顏O芸")</f>
        <v>顏O芸</v>
      </c>
      <c r="C830" s="9" t="str">
        <f>IFERROR(__xludf.DUMMYFUNCTION("""COMPUTED_VALUE"""),"d11*****@tdvs.chc.edu.tw")</f>
        <v>d11*****@tdvs.chc.edu.tw</v>
      </c>
      <c r="D830" s="9" t="str">
        <f>IFERROR(__xludf.DUMMYFUNCTION("""COMPUTED_VALUE"""),"彰化縣私立達德高級商工職業學校")</f>
        <v>彰化縣私立達德高級商工職業學校</v>
      </c>
      <c r="E830" s="9" t="str">
        <f>IFERROR(__xludf.DUMMYFUNCTION("""COMPUTED_VALUE"""),"資料處理")</f>
        <v>資料處理</v>
      </c>
      <c r="F830" s="9" t="str">
        <f>IFERROR(__xludf.DUMMYFUNCTION("""COMPUTED_VALUE"""),"一年級")</f>
        <v>一年級</v>
      </c>
      <c r="G830" s="9" t="str">
        <f>IFERROR(__xludf.DUMMYFUNCTION("""COMPUTED_VALUE"""),"獎狀")</f>
        <v>獎狀</v>
      </c>
      <c r="H830" s="9"/>
    </row>
    <row r="831">
      <c r="A831" s="13" t="s">
        <v>11</v>
      </c>
      <c r="B831" s="9" t="str">
        <f>IFERROR(__xludf.DUMMYFUNCTION("""COMPUTED_VALUE"""),"叶O.")</f>
        <v>叶O.</v>
      </c>
      <c r="C831" s="9" t="str">
        <f>IFERROR(__xludf.DUMMYFUNCTION("""COMPUTED_VALUE"""),"sye*****@gmail.com")</f>
        <v>sye*****@gmail.com</v>
      </c>
      <c r="D831" s="9" t="str">
        <f>IFERROR(__xludf.DUMMYFUNCTION("""COMPUTED_VALUE"""),"彰化縣私立達德高級商工職業學校")</f>
        <v>彰化縣私立達德高級商工職業學校</v>
      </c>
      <c r="E831" s="9" t="str">
        <f>IFERROR(__xludf.DUMMYFUNCTION("""COMPUTED_VALUE"""),"資料處理")</f>
        <v>資料處理</v>
      </c>
      <c r="F831" s="9" t="str">
        <f>IFERROR(__xludf.DUMMYFUNCTION("""COMPUTED_VALUE"""),"一年級")</f>
        <v>一年級</v>
      </c>
      <c r="G831" s="9" t="str">
        <f>IFERROR(__xludf.DUMMYFUNCTION("""COMPUTED_VALUE"""),"獎狀")</f>
        <v>獎狀</v>
      </c>
      <c r="H831" s="9"/>
    </row>
    <row r="832">
      <c r="A832" s="13" t="s">
        <v>11</v>
      </c>
      <c r="B832" s="9" t="str">
        <f>IFERROR(__xludf.DUMMYFUNCTION("""COMPUTED_VALUE"""),"謝O豐")</f>
        <v>謝O豐</v>
      </c>
      <c r="C832" s="9" t="str">
        <f>IFERROR(__xludf.DUMMYFUNCTION("""COMPUTED_VALUE"""),"d11*****@tdvs.chc.edu.tw")</f>
        <v>d11*****@tdvs.chc.edu.tw</v>
      </c>
      <c r="D832" s="9" t="str">
        <f>IFERROR(__xludf.DUMMYFUNCTION("""COMPUTED_VALUE"""),"彰化縣私立達德高級商工職業學校")</f>
        <v>彰化縣私立達德高級商工職業學校</v>
      </c>
      <c r="E832" s="9" t="str">
        <f>IFERROR(__xludf.DUMMYFUNCTION("""COMPUTED_VALUE"""),"電機科")</f>
        <v>電機科</v>
      </c>
      <c r="F832" s="9" t="str">
        <f>IFERROR(__xludf.DUMMYFUNCTION("""COMPUTED_VALUE"""),"一年級")</f>
        <v>一年級</v>
      </c>
      <c r="G832" s="9" t="str">
        <f>IFERROR(__xludf.DUMMYFUNCTION("""COMPUTED_VALUE"""),"■商品卡$200")</f>
        <v>■商品卡$200</v>
      </c>
      <c r="H832" s="9"/>
    </row>
    <row r="833">
      <c r="A833" s="13" t="s">
        <v>11</v>
      </c>
      <c r="B833" s="9" t="str">
        <f>IFERROR(__xludf.DUMMYFUNCTION("""COMPUTED_VALUE"""),"劉O翊")</f>
        <v>劉O翊</v>
      </c>
      <c r="C833" s="9" t="str">
        <f>IFERROR(__xludf.DUMMYFUNCTION("""COMPUTED_VALUE"""),"cai*****041@gmail.com")</f>
        <v>cai*****041@gmail.com</v>
      </c>
      <c r="D833" s="9" t="str">
        <f>IFERROR(__xludf.DUMMYFUNCTION("""COMPUTED_VALUE"""),"彰化縣私立達德高級商工職業學校")</f>
        <v>彰化縣私立達德高級商工職業學校</v>
      </c>
      <c r="E833" s="9" t="str">
        <f>IFERROR(__xludf.DUMMYFUNCTION("""COMPUTED_VALUE"""),"電機科")</f>
        <v>電機科</v>
      </c>
      <c r="F833" s="9" t="str">
        <f>IFERROR(__xludf.DUMMYFUNCTION("""COMPUTED_VALUE"""),"一年級")</f>
        <v>一年級</v>
      </c>
      <c r="G833" s="9" t="str">
        <f>IFERROR(__xludf.DUMMYFUNCTION("""COMPUTED_VALUE"""),"獎狀")</f>
        <v>獎狀</v>
      </c>
      <c r="H833" s="9"/>
    </row>
    <row r="834">
      <c r="A834" s="13" t="s">
        <v>11</v>
      </c>
      <c r="B834" s="9" t="str">
        <f>IFERROR(__xludf.DUMMYFUNCTION("""COMPUTED_VALUE"""),"陳O睿")</f>
        <v>陳O睿</v>
      </c>
      <c r="C834" s="9" t="str">
        <f>IFERROR(__xludf.DUMMYFUNCTION("""COMPUTED_VALUE"""),"d11*****@tdvs.chc.edu.tw")</f>
        <v>d11*****@tdvs.chc.edu.tw</v>
      </c>
      <c r="D834" s="9" t="str">
        <f>IFERROR(__xludf.DUMMYFUNCTION("""COMPUTED_VALUE"""),"彰化縣私立達德高級商工職業學校")</f>
        <v>彰化縣私立達德高級商工職業學校</v>
      </c>
      <c r="E834" s="9" t="str">
        <f>IFERROR(__xludf.DUMMYFUNCTION("""COMPUTED_VALUE"""),"電機科")</f>
        <v>電機科</v>
      </c>
      <c r="F834" s="9" t="str">
        <f>IFERROR(__xludf.DUMMYFUNCTION("""COMPUTED_VALUE"""),"一年級")</f>
        <v>一年級</v>
      </c>
      <c r="G834" s="9" t="str">
        <f>IFERROR(__xludf.DUMMYFUNCTION("""COMPUTED_VALUE"""),"獎狀")</f>
        <v>獎狀</v>
      </c>
      <c r="H834" s="9"/>
    </row>
    <row r="835">
      <c r="A835" s="13" t="s">
        <v>11</v>
      </c>
      <c r="B835" s="9" t="str">
        <f>IFERROR(__xludf.DUMMYFUNCTION("""COMPUTED_VALUE"""),"李O裕")</f>
        <v>李O裕</v>
      </c>
      <c r="C835" s="9" t="str">
        <f>IFERROR(__xludf.DUMMYFUNCTION("""COMPUTED_VALUE"""),"d11*****@tdvs.chc.edu.tw")</f>
        <v>d11*****@tdvs.chc.edu.tw</v>
      </c>
      <c r="D835" s="9" t="str">
        <f>IFERROR(__xludf.DUMMYFUNCTION("""COMPUTED_VALUE"""),"彰化縣私立達德高級商工職業學校")</f>
        <v>彰化縣私立達德高級商工職業學校</v>
      </c>
      <c r="E835" s="9" t="str">
        <f>IFERROR(__xludf.DUMMYFUNCTION("""COMPUTED_VALUE"""),"電機科")</f>
        <v>電機科</v>
      </c>
      <c r="F835" s="9" t="str">
        <f>IFERROR(__xludf.DUMMYFUNCTION("""COMPUTED_VALUE"""),"一年級")</f>
        <v>一年級</v>
      </c>
      <c r="G835" s="9" t="str">
        <f>IFERROR(__xludf.DUMMYFUNCTION("""COMPUTED_VALUE"""),"獎狀")</f>
        <v>獎狀</v>
      </c>
      <c r="H835" s="9"/>
    </row>
    <row r="836">
      <c r="A836" s="13" t="s">
        <v>11</v>
      </c>
      <c r="B836" s="9" t="str">
        <f>IFERROR(__xludf.DUMMYFUNCTION("""COMPUTED_VALUE"""),"賴O苙")</f>
        <v>賴O苙</v>
      </c>
      <c r="C836" s="9" t="str">
        <f>IFERROR(__xludf.DUMMYFUNCTION("""COMPUTED_VALUE"""),"a09*****697@gmail.com")</f>
        <v>a09*****697@gmail.com</v>
      </c>
      <c r="D836" s="9" t="str">
        <f>IFERROR(__xludf.DUMMYFUNCTION("""COMPUTED_VALUE"""),"彰化縣私立達德高級商工職業學校")</f>
        <v>彰化縣私立達德高級商工職業學校</v>
      </c>
      <c r="E836" s="9" t="str">
        <f>IFERROR(__xludf.DUMMYFUNCTION("""COMPUTED_VALUE"""),"電機科")</f>
        <v>電機科</v>
      </c>
      <c r="F836" s="9" t="str">
        <f>IFERROR(__xludf.DUMMYFUNCTION("""COMPUTED_VALUE"""),"一年級")</f>
        <v>一年級</v>
      </c>
      <c r="G836" s="9" t="str">
        <f>IFERROR(__xludf.DUMMYFUNCTION("""COMPUTED_VALUE"""),"獎狀")</f>
        <v>獎狀</v>
      </c>
      <c r="H836" s="9"/>
    </row>
    <row r="837">
      <c r="A837" s="13" t="s">
        <v>11</v>
      </c>
      <c r="B837" s="9" t="str">
        <f>IFERROR(__xludf.DUMMYFUNCTION("""COMPUTED_VALUE"""),"伍O銜")</f>
        <v>伍O銜</v>
      </c>
      <c r="C837" s="9" t="str">
        <f>IFERROR(__xludf.DUMMYFUNCTION("""COMPUTED_VALUE"""),"a73*****@gmail.com")</f>
        <v>a73*****@gmail.com</v>
      </c>
      <c r="D837" s="9" t="str">
        <f>IFERROR(__xludf.DUMMYFUNCTION("""COMPUTED_VALUE"""),"彰化縣私立達德高級商工職業學校")</f>
        <v>彰化縣私立達德高級商工職業學校</v>
      </c>
      <c r="E837" s="9" t="str">
        <f>IFERROR(__xludf.DUMMYFUNCTION("""COMPUTED_VALUE"""),"電機科")</f>
        <v>電機科</v>
      </c>
      <c r="F837" s="9" t="str">
        <f>IFERROR(__xludf.DUMMYFUNCTION("""COMPUTED_VALUE"""),"一年級")</f>
        <v>一年級</v>
      </c>
      <c r="G837" s="9" t="str">
        <f>IFERROR(__xludf.DUMMYFUNCTION("""COMPUTED_VALUE"""),"獎狀")</f>
        <v>獎狀</v>
      </c>
      <c r="H837" s="9"/>
    </row>
    <row r="838">
      <c r="A838" s="13" t="s">
        <v>11</v>
      </c>
      <c r="B838" s="9" t="str">
        <f>IFERROR(__xludf.DUMMYFUNCTION("""COMPUTED_VALUE"""),"江O翰")</f>
        <v>江O翰</v>
      </c>
      <c r="C838" s="9" t="str">
        <f>IFERROR(__xludf.DUMMYFUNCTION("""COMPUTED_VALUE"""),"nn1*****765@gmail.com")</f>
        <v>nn1*****765@gmail.com</v>
      </c>
      <c r="D838" s="9" t="str">
        <f>IFERROR(__xludf.DUMMYFUNCTION("""COMPUTED_VALUE"""),"彰化縣私立達德高級商工職業學校")</f>
        <v>彰化縣私立達德高級商工職業學校</v>
      </c>
      <c r="E838" s="9" t="str">
        <f>IFERROR(__xludf.DUMMYFUNCTION("""COMPUTED_VALUE"""),"電機科")</f>
        <v>電機科</v>
      </c>
      <c r="F838" s="9" t="str">
        <f>IFERROR(__xludf.DUMMYFUNCTION("""COMPUTED_VALUE"""),"一年級")</f>
        <v>一年級</v>
      </c>
      <c r="G838" s="9" t="str">
        <f>IFERROR(__xludf.DUMMYFUNCTION("""COMPUTED_VALUE"""),"獎狀")</f>
        <v>獎狀</v>
      </c>
      <c r="H838" s="9"/>
    </row>
    <row r="839">
      <c r="A839" s="13" t="s">
        <v>11</v>
      </c>
      <c r="B839" s="9" t="str">
        <f>IFERROR(__xludf.DUMMYFUNCTION("""COMPUTED_VALUE"""),"徐O軒")</f>
        <v>徐O軒</v>
      </c>
      <c r="C839" s="9" t="str">
        <f>IFERROR(__xludf.DUMMYFUNCTION("""COMPUTED_VALUE"""),"d11*****@tdvs.chc.edu.tw")</f>
        <v>d11*****@tdvs.chc.edu.tw</v>
      </c>
      <c r="D839" s="9" t="str">
        <f>IFERROR(__xludf.DUMMYFUNCTION("""COMPUTED_VALUE"""),"彰化縣私立達德高級商工職業學校")</f>
        <v>彰化縣私立達德高級商工職業學校</v>
      </c>
      <c r="E839" s="9" t="str">
        <f>IFERROR(__xludf.DUMMYFUNCTION("""COMPUTED_VALUE"""),"餐飲科")</f>
        <v>餐飲科</v>
      </c>
      <c r="F839" s="9" t="str">
        <f>IFERROR(__xludf.DUMMYFUNCTION("""COMPUTED_VALUE"""),"二年級")</f>
        <v>二年級</v>
      </c>
      <c r="G839" s="9" t="str">
        <f>IFERROR(__xludf.DUMMYFUNCTION("""COMPUTED_VALUE"""),"★商品卡$1000")</f>
        <v>★商品卡$1000</v>
      </c>
      <c r="H839" s="9"/>
    </row>
    <row r="840">
      <c r="A840" s="13" t="s">
        <v>11</v>
      </c>
      <c r="B840" s="9" t="str">
        <f>IFERROR(__xludf.DUMMYFUNCTION("""COMPUTED_VALUE"""),"許O容")</f>
        <v>許O容</v>
      </c>
      <c r="C840" s="9" t="str">
        <f>IFERROR(__xludf.DUMMYFUNCTION("""COMPUTED_VALUE"""),"d11*****@tdvs.chc.edu.tw")</f>
        <v>d11*****@tdvs.chc.edu.tw</v>
      </c>
      <c r="D840" s="9" t="str">
        <f>IFERROR(__xludf.DUMMYFUNCTION("""COMPUTED_VALUE"""),"彰化縣私立達德高級商工職業學校")</f>
        <v>彰化縣私立達德高級商工職業學校</v>
      </c>
      <c r="E840" s="9" t="str">
        <f>IFERROR(__xludf.DUMMYFUNCTION("""COMPUTED_VALUE"""),"餐飲科")</f>
        <v>餐飲科</v>
      </c>
      <c r="F840" s="9" t="str">
        <f>IFERROR(__xludf.DUMMYFUNCTION("""COMPUTED_VALUE"""),"二年級")</f>
        <v>二年級</v>
      </c>
      <c r="G840" s="9" t="str">
        <f>IFERROR(__xludf.DUMMYFUNCTION("""COMPUTED_VALUE"""),"獎狀")</f>
        <v>獎狀</v>
      </c>
      <c r="H840" s="9"/>
    </row>
    <row r="841">
      <c r="A841" s="13" t="s">
        <v>11</v>
      </c>
      <c r="B841" s="9" t="str">
        <f>IFERROR(__xludf.DUMMYFUNCTION("""COMPUTED_VALUE"""),"張O婕")</f>
        <v>張O婕</v>
      </c>
      <c r="C841" s="9" t="str">
        <f>IFERROR(__xludf.DUMMYFUNCTION("""COMPUTED_VALUE"""),"d11*****@tdvs.chc.edu.tw")</f>
        <v>d11*****@tdvs.chc.edu.tw</v>
      </c>
      <c r="D841" s="9" t="str">
        <f>IFERROR(__xludf.DUMMYFUNCTION("""COMPUTED_VALUE"""),"彰化縣私立達德高級商工職業學校")</f>
        <v>彰化縣私立達德高級商工職業學校</v>
      </c>
      <c r="E841" s="9" t="str">
        <f>IFERROR(__xludf.DUMMYFUNCTION("""COMPUTED_VALUE"""),"餐飲科")</f>
        <v>餐飲科</v>
      </c>
      <c r="F841" s="9" t="str">
        <f>IFERROR(__xludf.DUMMYFUNCTION("""COMPUTED_VALUE"""),"二年級")</f>
        <v>二年級</v>
      </c>
      <c r="G841" s="9" t="str">
        <f>IFERROR(__xludf.DUMMYFUNCTION("""COMPUTED_VALUE"""),"獎狀")</f>
        <v>獎狀</v>
      </c>
      <c r="H841" s="9"/>
    </row>
    <row r="842">
      <c r="A842" s="13" t="s">
        <v>11</v>
      </c>
      <c r="B842" s="9" t="str">
        <f>IFERROR(__xludf.DUMMYFUNCTION("""COMPUTED_VALUE"""),"蘇O甄")</f>
        <v>蘇O甄</v>
      </c>
      <c r="C842" s="9" t="str">
        <f>IFERROR(__xludf.DUMMYFUNCTION("""COMPUTED_VALUE"""),"d11*****@tdvs.chc.edu.tw")</f>
        <v>d11*****@tdvs.chc.edu.tw</v>
      </c>
      <c r="D842" s="9" t="str">
        <f>IFERROR(__xludf.DUMMYFUNCTION("""COMPUTED_VALUE"""),"彰化縣私立達德高級商工職業學校")</f>
        <v>彰化縣私立達德高級商工職業學校</v>
      </c>
      <c r="E842" s="9" t="str">
        <f>IFERROR(__xludf.DUMMYFUNCTION("""COMPUTED_VALUE"""),"餐飲科")</f>
        <v>餐飲科</v>
      </c>
      <c r="F842" s="9" t="str">
        <f>IFERROR(__xludf.DUMMYFUNCTION("""COMPUTED_VALUE"""),"二年級")</f>
        <v>二年級</v>
      </c>
      <c r="G842" s="9" t="str">
        <f>IFERROR(__xludf.DUMMYFUNCTION("""COMPUTED_VALUE"""),"獎狀")</f>
        <v>獎狀</v>
      </c>
      <c r="H842" s="9"/>
    </row>
    <row r="843">
      <c r="A843" s="13" t="s">
        <v>11</v>
      </c>
      <c r="B843" s="9" t="str">
        <f>IFERROR(__xludf.DUMMYFUNCTION("""COMPUTED_VALUE"""),"黃O秦")</f>
        <v>黃O秦</v>
      </c>
      <c r="C843" s="9" t="str">
        <f>IFERROR(__xludf.DUMMYFUNCTION("""COMPUTED_VALUE"""),"d11*****@tdvs.chc.edu.tw")</f>
        <v>d11*****@tdvs.chc.edu.tw</v>
      </c>
      <c r="D843" s="9" t="str">
        <f>IFERROR(__xludf.DUMMYFUNCTION("""COMPUTED_VALUE"""),"彰化縣私立達德高級商工職業學校")</f>
        <v>彰化縣私立達德高級商工職業學校</v>
      </c>
      <c r="E843" s="9" t="str">
        <f>IFERROR(__xludf.DUMMYFUNCTION("""COMPUTED_VALUE"""),"餐飲科")</f>
        <v>餐飲科</v>
      </c>
      <c r="F843" s="9" t="str">
        <f>IFERROR(__xludf.DUMMYFUNCTION("""COMPUTED_VALUE"""),"二年級")</f>
        <v>二年級</v>
      </c>
      <c r="G843" s="9" t="str">
        <f>IFERROR(__xludf.DUMMYFUNCTION("""COMPUTED_VALUE"""),"獎狀")</f>
        <v>獎狀</v>
      </c>
      <c r="H843" s="9"/>
    </row>
    <row r="844">
      <c r="A844" s="13" t="s">
        <v>11</v>
      </c>
      <c r="B844" s="9" t="str">
        <f>IFERROR(__xludf.DUMMYFUNCTION("""COMPUTED_VALUE"""),"李O恩")</f>
        <v>李O恩</v>
      </c>
      <c r="C844" s="9" t="str">
        <f>IFERROR(__xludf.DUMMYFUNCTION("""COMPUTED_VALUE"""),"d11*****@tdvs.chc.edu.tw")</f>
        <v>d11*****@tdvs.chc.edu.tw</v>
      </c>
      <c r="D844" s="9" t="str">
        <f>IFERROR(__xludf.DUMMYFUNCTION("""COMPUTED_VALUE"""),"彰化縣私立達德高級商工職業學校")</f>
        <v>彰化縣私立達德高級商工職業學校</v>
      </c>
      <c r="E844" s="9" t="str">
        <f>IFERROR(__xludf.DUMMYFUNCTION("""COMPUTED_VALUE"""),"餐飲科")</f>
        <v>餐飲科</v>
      </c>
      <c r="F844" s="9" t="str">
        <f>IFERROR(__xludf.DUMMYFUNCTION("""COMPUTED_VALUE"""),"二年級")</f>
        <v>二年級</v>
      </c>
      <c r="G844" s="9" t="str">
        <f>IFERROR(__xludf.DUMMYFUNCTION("""COMPUTED_VALUE"""),"獎狀")</f>
        <v>獎狀</v>
      </c>
      <c r="H844" s="9"/>
    </row>
    <row r="845">
      <c r="A845" s="13" t="s">
        <v>11</v>
      </c>
      <c r="B845" s="9" t="str">
        <f>IFERROR(__xludf.DUMMYFUNCTION("""COMPUTED_VALUE"""),"蘇O萱")</f>
        <v>蘇O萱</v>
      </c>
      <c r="C845" s="9" t="str">
        <f>IFERROR(__xludf.DUMMYFUNCTION("""COMPUTED_VALUE"""),"d11*****@tdvs.chc.edu.tw")</f>
        <v>d11*****@tdvs.chc.edu.tw</v>
      </c>
      <c r="D845" s="9" t="str">
        <f>IFERROR(__xludf.DUMMYFUNCTION("""COMPUTED_VALUE"""),"彰化縣私立達德高級商工職業學校")</f>
        <v>彰化縣私立達德高級商工職業學校</v>
      </c>
      <c r="E845" s="9" t="str">
        <f>IFERROR(__xludf.DUMMYFUNCTION("""COMPUTED_VALUE"""),"餐飲科")</f>
        <v>餐飲科</v>
      </c>
      <c r="F845" s="9" t="str">
        <f>IFERROR(__xludf.DUMMYFUNCTION("""COMPUTED_VALUE"""),"二年級")</f>
        <v>二年級</v>
      </c>
      <c r="G845" s="9" t="str">
        <f>IFERROR(__xludf.DUMMYFUNCTION("""COMPUTED_VALUE"""),"獎狀")</f>
        <v>獎狀</v>
      </c>
      <c r="H845" s="9"/>
    </row>
    <row r="846">
      <c r="A846" s="13" t="s">
        <v>11</v>
      </c>
      <c r="B846" s="9" t="str">
        <f>IFERROR(__xludf.DUMMYFUNCTION("""COMPUTED_VALUE"""),"王O穎")</f>
        <v>王O穎</v>
      </c>
      <c r="C846" s="9" t="str">
        <f>IFERROR(__xludf.DUMMYFUNCTION("""COMPUTED_VALUE"""),"d11*****@tdvs.chc.edu.tw")</f>
        <v>d11*****@tdvs.chc.edu.tw</v>
      </c>
      <c r="D846" s="9" t="str">
        <f>IFERROR(__xludf.DUMMYFUNCTION("""COMPUTED_VALUE"""),"彰化縣私立達德高級商工職業學校")</f>
        <v>彰化縣私立達德高級商工職業學校</v>
      </c>
      <c r="E846" s="9" t="str">
        <f>IFERROR(__xludf.DUMMYFUNCTION("""COMPUTED_VALUE"""),"餐飲科")</f>
        <v>餐飲科</v>
      </c>
      <c r="F846" s="9" t="str">
        <f>IFERROR(__xludf.DUMMYFUNCTION("""COMPUTED_VALUE"""),"二年級")</f>
        <v>二年級</v>
      </c>
      <c r="G846" s="9" t="str">
        <f>IFERROR(__xludf.DUMMYFUNCTION("""COMPUTED_VALUE"""),"獎狀")</f>
        <v>獎狀</v>
      </c>
      <c r="H846" s="9"/>
    </row>
    <row r="847">
      <c r="A847" s="13" t="s">
        <v>11</v>
      </c>
      <c r="B847" s="9" t="str">
        <f>IFERROR(__xludf.DUMMYFUNCTION("""COMPUTED_VALUE"""),"李O蓉")</f>
        <v>李O蓉</v>
      </c>
      <c r="C847" s="9" t="str">
        <f>IFERROR(__xludf.DUMMYFUNCTION("""COMPUTED_VALUE"""),"d11*****@tdvs.chc.edu.tw")</f>
        <v>d11*****@tdvs.chc.edu.tw</v>
      </c>
      <c r="D847" s="9" t="str">
        <f>IFERROR(__xludf.DUMMYFUNCTION("""COMPUTED_VALUE"""),"彰化縣私立達德高級商工職業學校")</f>
        <v>彰化縣私立達德高級商工職業學校</v>
      </c>
      <c r="E847" s="9" t="str">
        <f>IFERROR(__xludf.DUMMYFUNCTION("""COMPUTED_VALUE"""),"餐飲科")</f>
        <v>餐飲科</v>
      </c>
      <c r="F847" s="9" t="str">
        <f>IFERROR(__xludf.DUMMYFUNCTION("""COMPUTED_VALUE"""),"二年級")</f>
        <v>二年級</v>
      </c>
      <c r="G847" s="9" t="str">
        <f>IFERROR(__xludf.DUMMYFUNCTION("""COMPUTED_VALUE"""),"獎狀")</f>
        <v>獎狀</v>
      </c>
      <c r="H847" s="9"/>
    </row>
    <row r="848">
      <c r="A848" s="13" t="s">
        <v>11</v>
      </c>
      <c r="B848" s="9" t="str">
        <f>IFERROR(__xludf.DUMMYFUNCTION("""COMPUTED_VALUE"""),"李O紜")</f>
        <v>李O紜</v>
      </c>
      <c r="C848" s="9" t="str">
        <f>IFERROR(__xludf.DUMMYFUNCTION("""COMPUTED_VALUE"""),"d11*****@tdvs.chc.edu.tw")</f>
        <v>d11*****@tdvs.chc.edu.tw</v>
      </c>
      <c r="D848" s="9" t="str">
        <f>IFERROR(__xludf.DUMMYFUNCTION("""COMPUTED_VALUE"""),"彰化縣私立達德高級商工職業學校")</f>
        <v>彰化縣私立達德高級商工職業學校</v>
      </c>
      <c r="E848" s="9" t="str">
        <f>IFERROR(__xludf.DUMMYFUNCTION("""COMPUTED_VALUE"""),"餐飲科")</f>
        <v>餐飲科</v>
      </c>
      <c r="F848" s="9" t="str">
        <f>IFERROR(__xludf.DUMMYFUNCTION("""COMPUTED_VALUE"""),"二年級")</f>
        <v>二年級</v>
      </c>
      <c r="G848" s="9" t="str">
        <f>IFERROR(__xludf.DUMMYFUNCTION("""COMPUTED_VALUE"""),"獎狀")</f>
        <v>獎狀</v>
      </c>
      <c r="H848" s="9"/>
    </row>
    <row r="849">
      <c r="A849" s="13" t="s">
        <v>11</v>
      </c>
      <c r="B849" s="9" t="str">
        <f>IFERROR(__xludf.DUMMYFUNCTION("""COMPUTED_VALUE"""),"洪O暄")</f>
        <v>洪O暄</v>
      </c>
      <c r="C849" s="9" t="str">
        <f>IFERROR(__xludf.DUMMYFUNCTION("""COMPUTED_VALUE"""),"ys9*****@gmail.com")</f>
        <v>ys9*****@gmail.com</v>
      </c>
      <c r="D849" s="9" t="str">
        <f>IFERROR(__xludf.DUMMYFUNCTION("""COMPUTED_VALUE"""),"彰化縣私立達德高級商工職業學校")</f>
        <v>彰化縣私立達德高級商工職業學校</v>
      </c>
      <c r="E849" s="9" t="str">
        <f>IFERROR(__xludf.DUMMYFUNCTION("""COMPUTED_VALUE"""),"餐飲科")</f>
        <v>餐飲科</v>
      </c>
      <c r="F849" s="9" t="str">
        <f>IFERROR(__xludf.DUMMYFUNCTION("""COMPUTED_VALUE"""),"二年級")</f>
        <v>二年級</v>
      </c>
      <c r="G849" s="9" t="str">
        <f>IFERROR(__xludf.DUMMYFUNCTION("""COMPUTED_VALUE"""),"獎狀")</f>
        <v>獎狀</v>
      </c>
      <c r="H849" s="9"/>
    </row>
    <row r="850">
      <c r="A850" s="13" t="s">
        <v>11</v>
      </c>
      <c r="B850" s="9" t="str">
        <f>IFERROR(__xludf.DUMMYFUNCTION("""COMPUTED_VALUE"""),"曾O展")</f>
        <v>曾O展</v>
      </c>
      <c r="C850" s="9" t="str">
        <f>IFERROR(__xludf.DUMMYFUNCTION("""COMPUTED_VALUE"""),"sea*****0702@gmail.com")</f>
        <v>sea*****0702@gmail.com</v>
      </c>
      <c r="D850" s="9" t="str">
        <f>IFERROR(__xludf.DUMMYFUNCTION("""COMPUTED_VALUE"""),"彰化縣私立達德高級商工職業學校")</f>
        <v>彰化縣私立達德高級商工職業學校</v>
      </c>
      <c r="E850" s="9" t="str">
        <f>IFERROR(__xludf.DUMMYFUNCTION("""COMPUTED_VALUE"""),"餐飲科")</f>
        <v>餐飲科</v>
      </c>
      <c r="F850" s="9" t="str">
        <f>IFERROR(__xludf.DUMMYFUNCTION("""COMPUTED_VALUE"""),"二年級")</f>
        <v>二年級</v>
      </c>
      <c r="G850" s="9" t="str">
        <f>IFERROR(__xludf.DUMMYFUNCTION("""COMPUTED_VALUE"""),"獎狀")</f>
        <v>獎狀</v>
      </c>
      <c r="H850" s="9"/>
    </row>
    <row r="851">
      <c r="A851" s="13" t="s">
        <v>11</v>
      </c>
      <c r="B851" s="9" t="str">
        <f>IFERROR(__xludf.DUMMYFUNCTION("""COMPUTED_VALUE"""),"洪O唯")</f>
        <v>洪O唯</v>
      </c>
      <c r="C851" s="9" t="str">
        <f>IFERROR(__xludf.DUMMYFUNCTION("""COMPUTED_VALUE"""),"d11*****@tdvs.chc.edu.tw")</f>
        <v>d11*****@tdvs.chc.edu.tw</v>
      </c>
      <c r="D851" s="9" t="str">
        <f>IFERROR(__xludf.DUMMYFUNCTION("""COMPUTED_VALUE"""),"彰化縣私立達德高級商工職業學校")</f>
        <v>彰化縣私立達德高級商工職業學校</v>
      </c>
      <c r="E851" s="9" t="str">
        <f>IFERROR(__xludf.DUMMYFUNCTION("""COMPUTED_VALUE"""),"餐飲科")</f>
        <v>餐飲科</v>
      </c>
      <c r="F851" s="9" t="str">
        <f>IFERROR(__xludf.DUMMYFUNCTION("""COMPUTED_VALUE"""),"二年級")</f>
        <v>二年級</v>
      </c>
      <c r="G851" s="9" t="str">
        <f>IFERROR(__xludf.DUMMYFUNCTION("""COMPUTED_VALUE"""),"■商品卡$200")</f>
        <v>■商品卡$200</v>
      </c>
      <c r="H851" s="9"/>
    </row>
    <row r="852">
      <c r="A852" s="13" t="s">
        <v>11</v>
      </c>
      <c r="B852" s="9" t="str">
        <f>IFERROR(__xludf.DUMMYFUNCTION("""COMPUTED_VALUE"""),"陳O妘")</f>
        <v>陳O妘</v>
      </c>
      <c r="C852" s="9" t="str">
        <f>IFERROR(__xludf.DUMMYFUNCTION("""COMPUTED_VALUE"""),"d11*****@tdvs.chc.edu.tw")</f>
        <v>d11*****@tdvs.chc.edu.tw</v>
      </c>
      <c r="D852" s="9" t="str">
        <f>IFERROR(__xludf.DUMMYFUNCTION("""COMPUTED_VALUE"""),"彰化縣私立達德高級商工職業學校")</f>
        <v>彰化縣私立達德高級商工職業學校</v>
      </c>
      <c r="E852" s="9" t="str">
        <f>IFERROR(__xludf.DUMMYFUNCTION("""COMPUTED_VALUE"""),"餐飲科")</f>
        <v>餐飲科</v>
      </c>
      <c r="F852" s="9" t="str">
        <f>IFERROR(__xludf.DUMMYFUNCTION("""COMPUTED_VALUE"""),"二年級")</f>
        <v>二年級</v>
      </c>
      <c r="G852" s="9" t="str">
        <f>IFERROR(__xludf.DUMMYFUNCTION("""COMPUTED_VALUE"""),"獎狀")</f>
        <v>獎狀</v>
      </c>
      <c r="H852" s="9"/>
    </row>
    <row r="853">
      <c r="A853" s="13" t="s">
        <v>11</v>
      </c>
      <c r="B853" s="9" t="str">
        <f>IFERROR(__xludf.DUMMYFUNCTION("""COMPUTED_VALUE"""),"黃O瑄")</f>
        <v>黃O瑄</v>
      </c>
      <c r="C853" s="9" t="str">
        <f>IFERROR(__xludf.DUMMYFUNCTION("""COMPUTED_VALUE"""),"xin*****9@gmail.com")</f>
        <v>xin*****9@gmail.com</v>
      </c>
      <c r="D853" s="9" t="str">
        <f>IFERROR(__xludf.DUMMYFUNCTION("""COMPUTED_VALUE"""),"彰化縣私立達德高級商工職業學校")</f>
        <v>彰化縣私立達德高級商工職業學校</v>
      </c>
      <c r="E853" s="9" t="str">
        <f>IFERROR(__xludf.DUMMYFUNCTION("""COMPUTED_VALUE"""),"餐飲科")</f>
        <v>餐飲科</v>
      </c>
      <c r="F853" s="9" t="str">
        <f>IFERROR(__xludf.DUMMYFUNCTION("""COMPUTED_VALUE"""),"二年級")</f>
        <v>二年級</v>
      </c>
      <c r="G853" s="9" t="str">
        <f>IFERROR(__xludf.DUMMYFUNCTION("""COMPUTED_VALUE"""),"獎狀")</f>
        <v>獎狀</v>
      </c>
      <c r="H853" s="9"/>
    </row>
    <row r="854">
      <c r="A854" s="13" t="s">
        <v>11</v>
      </c>
      <c r="B854" s="9" t="str">
        <f>IFERROR(__xludf.DUMMYFUNCTION("""COMPUTED_VALUE"""),"謝O軒")</f>
        <v>謝O軒</v>
      </c>
      <c r="C854" s="9" t="str">
        <f>IFERROR(__xludf.DUMMYFUNCTION("""COMPUTED_VALUE"""),"aa1*****629@gmail.com")</f>
        <v>aa1*****629@gmail.com</v>
      </c>
      <c r="D854" s="9" t="str">
        <f>IFERROR(__xludf.DUMMYFUNCTION("""COMPUTED_VALUE"""),"彰化縣私立達德高級商工職業學校")</f>
        <v>彰化縣私立達德高級商工職業學校</v>
      </c>
      <c r="E854" s="9" t="str">
        <f>IFERROR(__xludf.DUMMYFUNCTION("""COMPUTED_VALUE"""),"餐飲科")</f>
        <v>餐飲科</v>
      </c>
      <c r="F854" s="9" t="str">
        <f>IFERROR(__xludf.DUMMYFUNCTION("""COMPUTED_VALUE"""),"二年級")</f>
        <v>二年級</v>
      </c>
      <c r="G854" s="9" t="str">
        <f>IFERROR(__xludf.DUMMYFUNCTION("""COMPUTED_VALUE"""),"■商品卡$200")</f>
        <v>■商品卡$200</v>
      </c>
      <c r="H854" s="9"/>
    </row>
    <row r="855">
      <c r="A855" s="13" t="s">
        <v>11</v>
      </c>
      <c r="B855" s="9" t="str">
        <f>IFERROR(__xludf.DUMMYFUNCTION("""COMPUTED_VALUE"""),"王O仁")</f>
        <v>王O仁</v>
      </c>
      <c r="C855" s="9" t="str">
        <f>IFERROR(__xludf.DUMMYFUNCTION("""COMPUTED_VALUE"""),"you*****17@gmail.com")</f>
        <v>you*****17@gmail.com</v>
      </c>
      <c r="D855" s="9" t="str">
        <f>IFERROR(__xludf.DUMMYFUNCTION("""COMPUTED_VALUE"""),"彰化縣私立達德高級商工職業學校")</f>
        <v>彰化縣私立達德高級商工職業學校</v>
      </c>
      <c r="E855" s="9" t="str">
        <f>IFERROR(__xludf.DUMMYFUNCTION("""COMPUTED_VALUE"""),"餐飲科")</f>
        <v>餐飲科</v>
      </c>
      <c r="F855" s="9" t="str">
        <f>IFERROR(__xludf.DUMMYFUNCTION("""COMPUTED_VALUE"""),"二年級")</f>
        <v>二年級</v>
      </c>
      <c r="G855" s="9" t="str">
        <f>IFERROR(__xludf.DUMMYFUNCTION("""COMPUTED_VALUE"""),"■商品卡$200")</f>
        <v>■商品卡$200</v>
      </c>
      <c r="H855" s="9"/>
    </row>
    <row r="856">
      <c r="A856" s="13" t="s">
        <v>11</v>
      </c>
      <c r="B856" s="9" t="str">
        <f>IFERROR(__xludf.DUMMYFUNCTION("""COMPUTED_VALUE"""),"江O騰")</f>
        <v>江O騰</v>
      </c>
      <c r="C856" s="9" t="str">
        <f>IFERROR(__xludf.DUMMYFUNCTION("""COMPUTED_VALUE"""),"d11*****@tdvs.chc.edu.tw")</f>
        <v>d11*****@tdvs.chc.edu.tw</v>
      </c>
      <c r="D856" s="9" t="str">
        <f>IFERROR(__xludf.DUMMYFUNCTION("""COMPUTED_VALUE"""),"彰化縣私立達德高級商工職業學校")</f>
        <v>彰化縣私立達德高級商工職業學校</v>
      </c>
      <c r="E856" s="9" t="str">
        <f>IFERROR(__xludf.DUMMYFUNCTION("""COMPUTED_VALUE"""),"餐飲科")</f>
        <v>餐飲科</v>
      </c>
      <c r="F856" s="9" t="str">
        <f>IFERROR(__xludf.DUMMYFUNCTION("""COMPUTED_VALUE"""),"二年級")</f>
        <v>二年級</v>
      </c>
      <c r="G856" s="9" t="str">
        <f>IFERROR(__xludf.DUMMYFUNCTION("""COMPUTED_VALUE"""),"■商品卡$200")</f>
        <v>■商品卡$200</v>
      </c>
      <c r="H856" s="9"/>
    </row>
    <row r="857">
      <c r="A857" s="13" t="s">
        <v>11</v>
      </c>
      <c r="B857" s="9" t="str">
        <f>IFERROR(__xludf.DUMMYFUNCTION("""COMPUTED_VALUE"""),"邱O程")</f>
        <v>邱O程</v>
      </c>
      <c r="C857" s="9" t="str">
        <f>IFERROR(__xludf.DUMMYFUNCTION("""COMPUTED_VALUE"""),"tob*****1031@gmail.com")</f>
        <v>tob*****1031@gmail.com</v>
      </c>
      <c r="D857" s="9" t="str">
        <f>IFERROR(__xludf.DUMMYFUNCTION("""COMPUTED_VALUE"""),"彰化縣私立達德高級商工職業學校")</f>
        <v>彰化縣私立達德高級商工職業學校</v>
      </c>
      <c r="E857" s="9" t="str">
        <f>IFERROR(__xludf.DUMMYFUNCTION("""COMPUTED_VALUE"""),"餐飲科")</f>
        <v>餐飲科</v>
      </c>
      <c r="F857" s="9" t="str">
        <f>IFERROR(__xludf.DUMMYFUNCTION("""COMPUTED_VALUE"""),"二年級")</f>
        <v>二年級</v>
      </c>
      <c r="G857" s="9" t="str">
        <f>IFERROR(__xludf.DUMMYFUNCTION("""COMPUTED_VALUE"""),"獎狀")</f>
        <v>獎狀</v>
      </c>
      <c r="H857" s="9"/>
    </row>
    <row r="858">
      <c r="A858" s="13" t="s">
        <v>11</v>
      </c>
      <c r="B858" s="9" t="str">
        <f>IFERROR(__xludf.DUMMYFUNCTION("""COMPUTED_VALUE"""),"莊O婷")</f>
        <v>莊O婷</v>
      </c>
      <c r="C858" s="9" t="str">
        <f>IFERROR(__xludf.DUMMYFUNCTION("""COMPUTED_VALUE"""),"app*****108@gmail.com")</f>
        <v>app*****108@gmail.com</v>
      </c>
      <c r="D858" s="9" t="str">
        <f>IFERROR(__xludf.DUMMYFUNCTION("""COMPUTED_VALUE"""),"彰化縣私立達德高級商工職業學校")</f>
        <v>彰化縣私立達德高級商工職業學校</v>
      </c>
      <c r="E858" s="9" t="str">
        <f>IFERROR(__xludf.DUMMYFUNCTION("""COMPUTED_VALUE"""),"餐飲科")</f>
        <v>餐飲科</v>
      </c>
      <c r="F858" s="9" t="str">
        <f>IFERROR(__xludf.DUMMYFUNCTION("""COMPUTED_VALUE"""),"二年級")</f>
        <v>二年級</v>
      </c>
      <c r="G858" s="9" t="str">
        <f>IFERROR(__xludf.DUMMYFUNCTION("""COMPUTED_VALUE"""),"獎狀")</f>
        <v>獎狀</v>
      </c>
      <c r="H858" s="9"/>
    </row>
    <row r="859">
      <c r="A859" s="13" t="s">
        <v>11</v>
      </c>
      <c r="B859" s="9" t="str">
        <f>IFERROR(__xludf.DUMMYFUNCTION("""COMPUTED_VALUE"""),"楊O雯")</f>
        <v>楊O雯</v>
      </c>
      <c r="C859" s="9" t="str">
        <f>IFERROR(__xludf.DUMMYFUNCTION("""COMPUTED_VALUE"""),"eva*****09139@gmail.com")</f>
        <v>eva*****09139@gmail.com</v>
      </c>
      <c r="D859" s="9" t="str">
        <f>IFERROR(__xludf.DUMMYFUNCTION("""COMPUTED_VALUE"""),"彰化縣私立達德高級商工職業學校")</f>
        <v>彰化縣私立達德高級商工職業學校</v>
      </c>
      <c r="E859" s="9" t="str">
        <f>IFERROR(__xludf.DUMMYFUNCTION("""COMPUTED_VALUE"""),"餐飲科")</f>
        <v>餐飲科</v>
      </c>
      <c r="F859" s="9" t="str">
        <f>IFERROR(__xludf.DUMMYFUNCTION("""COMPUTED_VALUE"""),"二年級")</f>
        <v>二年級</v>
      </c>
      <c r="G859" s="9" t="str">
        <f>IFERROR(__xludf.DUMMYFUNCTION("""COMPUTED_VALUE"""),"獎狀")</f>
        <v>獎狀</v>
      </c>
      <c r="H859" s="9"/>
    </row>
    <row r="860">
      <c r="A860" s="13" t="s">
        <v>11</v>
      </c>
      <c r="B860" s="9" t="str">
        <f>IFERROR(__xludf.DUMMYFUNCTION("""COMPUTED_VALUE"""),"龐O恩")</f>
        <v>龐O恩</v>
      </c>
      <c r="C860" s="9" t="str">
        <f>IFERROR(__xludf.DUMMYFUNCTION("""COMPUTED_VALUE"""),"d11*****@tdvs.chc.edu.tw")</f>
        <v>d11*****@tdvs.chc.edu.tw</v>
      </c>
      <c r="D860" s="9" t="str">
        <f>IFERROR(__xludf.DUMMYFUNCTION("""COMPUTED_VALUE"""),"彰化縣私立達德高級商工職業學校")</f>
        <v>彰化縣私立達德高級商工職業學校</v>
      </c>
      <c r="E860" s="9" t="str">
        <f>IFERROR(__xludf.DUMMYFUNCTION("""COMPUTED_VALUE"""),"餐飲科")</f>
        <v>餐飲科</v>
      </c>
      <c r="F860" s="9" t="str">
        <f>IFERROR(__xludf.DUMMYFUNCTION("""COMPUTED_VALUE"""),"二年級")</f>
        <v>二年級</v>
      </c>
      <c r="G860" s="9" t="str">
        <f>IFERROR(__xludf.DUMMYFUNCTION("""COMPUTED_VALUE"""),"獎狀")</f>
        <v>獎狀</v>
      </c>
      <c r="H860" s="9"/>
    </row>
    <row r="861">
      <c r="A861" s="13" t="s">
        <v>11</v>
      </c>
      <c r="B861" s="9" t="str">
        <f>IFERROR(__xludf.DUMMYFUNCTION("""COMPUTED_VALUE"""),"黃O凱")</f>
        <v>黃O凱</v>
      </c>
      <c r="C861" s="9" t="str">
        <f>IFERROR(__xludf.DUMMYFUNCTION("""COMPUTED_VALUE"""),"d11*****@tdvs.chc.edu.tw")</f>
        <v>d11*****@tdvs.chc.edu.tw</v>
      </c>
      <c r="D861" s="9" t="str">
        <f>IFERROR(__xludf.DUMMYFUNCTION("""COMPUTED_VALUE"""),"彰化縣私立達德高級商工職業學校")</f>
        <v>彰化縣私立達德高級商工職業學校</v>
      </c>
      <c r="E861" s="9" t="str">
        <f>IFERROR(__xludf.DUMMYFUNCTION("""COMPUTED_VALUE"""),"餐飲科")</f>
        <v>餐飲科</v>
      </c>
      <c r="F861" s="9" t="str">
        <f>IFERROR(__xludf.DUMMYFUNCTION("""COMPUTED_VALUE"""),"二年級")</f>
        <v>二年級</v>
      </c>
      <c r="G861" s="9" t="str">
        <f>IFERROR(__xludf.DUMMYFUNCTION("""COMPUTED_VALUE"""),"獎狀")</f>
        <v>獎狀</v>
      </c>
      <c r="H861" s="9"/>
    </row>
    <row r="862">
      <c r="A862" s="13" t="s">
        <v>11</v>
      </c>
      <c r="B862" s="9" t="str">
        <f>IFERROR(__xludf.DUMMYFUNCTION("""COMPUTED_VALUE"""),"許O儀")</f>
        <v>許O儀</v>
      </c>
      <c r="C862" s="9" t="str">
        <f>IFERROR(__xludf.DUMMYFUNCTION("""COMPUTED_VALUE"""),"mia*****r193@gmail.com")</f>
        <v>mia*****r193@gmail.com</v>
      </c>
      <c r="D862" s="9" t="str">
        <f>IFERROR(__xludf.DUMMYFUNCTION("""COMPUTED_VALUE"""),"國立北斗高級家事商業職業學校")</f>
        <v>國立北斗高級家事商業職業學校</v>
      </c>
      <c r="E862" s="9" t="str">
        <f>IFERROR(__xludf.DUMMYFUNCTION("""COMPUTED_VALUE"""),"國貿科")</f>
        <v>國貿科</v>
      </c>
      <c r="F862" s="9" t="str">
        <f>IFERROR(__xludf.DUMMYFUNCTION("""COMPUTED_VALUE"""),"三年級")</f>
        <v>三年級</v>
      </c>
      <c r="G862" s="9" t="str">
        <f>IFERROR(__xludf.DUMMYFUNCTION("""COMPUTED_VALUE"""),"獎狀")</f>
        <v>獎狀</v>
      </c>
      <c r="H862" s="9"/>
    </row>
    <row r="863">
      <c r="A863" s="13" t="s">
        <v>11</v>
      </c>
      <c r="B863" s="9" t="str">
        <f>IFERROR(__xludf.DUMMYFUNCTION("""COMPUTED_VALUE"""),"李O玲")</f>
        <v>李O玲</v>
      </c>
      <c r="C863" s="9" t="str">
        <f>IFERROR(__xludf.DUMMYFUNCTION("""COMPUTED_VALUE"""),"sub*****03183@mail.edu.tw")</f>
        <v>sub*****03183@mail.edu.tw</v>
      </c>
      <c r="D863" s="9" t="str">
        <f>IFERROR(__xludf.DUMMYFUNCTION("""COMPUTED_VALUE"""),"國立北斗高級家事商業職業學校")</f>
        <v>國立北斗高級家事商業職業學校</v>
      </c>
      <c r="E863" s="9" t="str">
        <f>IFERROR(__xludf.DUMMYFUNCTION("""COMPUTED_VALUE"""),"國際貿易科")</f>
        <v>國際貿易科</v>
      </c>
      <c r="F863" s="9" t="str">
        <f>IFERROR(__xludf.DUMMYFUNCTION("""COMPUTED_VALUE"""),"三年級")</f>
        <v>三年級</v>
      </c>
      <c r="G863" s="9" t="str">
        <f>IFERROR(__xludf.DUMMYFUNCTION("""COMPUTED_VALUE"""),"獎狀")</f>
        <v>獎狀</v>
      </c>
      <c r="H863" s="9"/>
    </row>
    <row r="864">
      <c r="A864" s="13" t="s">
        <v>11</v>
      </c>
      <c r="B864" s="9" t="str">
        <f>IFERROR(__xludf.DUMMYFUNCTION("""COMPUTED_VALUE"""),"陳O元")</f>
        <v>陳O元</v>
      </c>
      <c r="C864" s="9" t="str">
        <f>IFERROR(__xludf.DUMMYFUNCTION("""COMPUTED_VALUE"""),"119*****ails.pntcv.ntct.edu.tw")</f>
        <v>119*****ails.pntcv.ntct.edu.tw</v>
      </c>
      <c r="D864" s="9" t="str">
        <f>IFERROR(__xludf.DUMMYFUNCTION("""COMPUTED_VALUE"""),"國立南投高級商業職業學校")</f>
        <v>國立南投高級商業職業學校</v>
      </c>
      <c r="E864" s="9" t="str">
        <f>IFERROR(__xludf.DUMMYFUNCTION("""COMPUTED_VALUE"""),"技高")</f>
        <v>技高</v>
      </c>
      <c r="F864" s="9" t="str">
        <f>IFERROR(__xludf.DUMMYFUNCTION("""COMPUTED_VALUE"""),"二年級")</f>
        <v>二年級</v>
      </c>
      <c r="G864" s="9" t="str">
        <f>IFERROR(__xludf.DUMMYFUNCTION("""COMPUTED_VALUE"""),"獎狀")</f>
        <v>獎狀</v>
      </c>
      <c r="H864" s="11" t="str">
        <f>IFERROR(__xludf.DUMMYFUNCTION("""COMPUTED_VALUE"""),"學籍資料不齊，請提供【就讀班級】")</f>
        <v>學籍資料不齊，請提供【就讀班級】</v>
      </c>
    </row>
    <row r="865">
      <c r="A865" s="13" t="s">
        <v>11</v>
      </c>
      <c r="B865" s="9" t="str">
        <f>IFERROR(__xludf.DUMMYFUNCTION("""COMPUTED_VALUE"""),"杜O藝")</f>
        <v>杜O藝</v>
      </c>
      <c r="C865" s="9" t="str">
        <f>IFERROR(__xludf.DUMMYFUNCTION("""COMPUTED_VALUE"""),"219*****ails.pntcv.ntct.edu.tw")</f>
        <v>219*****ails.pntcv.ntct.edu.tw</v>
      </c>
      <c r="D865" s="9" t="str">
        <f>IFERROR(__xludf.DUMMYFUNCTION("""COMPUTED_VALUE"""),"國立南投高級商業職業學校")</f>
        <v>國立南投高級商業職業學校</v>
      </c>
      <c r="E865" s="9" t="str">
        <f>IFERROR(__xludf.DUMMYFUNCTION("""COMPUTED_VALUE"""),"應英科")</f>
        <v>應英科</v>
      </c>
      <c r="F865" s="9" t="str">
        <f>IFERROR(__xludf.DUMMYFUNCTION("""COMPUTED_VALUE"""),"二年級")</f>
        <v>二年級</v>
      </c>
      <c r="G865" s="9" t="str">
        <f>IFERROR(__xludf.DUMMYFUNCTION("""COMPUTED_VALUE"""),"獎狀")</f>
        <v>獎狀</v>
      </c>
      <c r="H865" s="9"/>
    </row>
    <row r="866">
      <c r="A866" s="13" t="s">
        <v>11</v>
      </c>
      <c r="B866" s="9" t="str">
        <f>IFERROR(__xludf.DUMMYFUNCTION("""COMPUTED_VALUE"""),"許O蕎")</f>
        <v>許O蕎</v>
      </c>
      <c r="C866" s="9" t="str">
        <f>IFERROR(__xludf.DUMMYFUNCTION("""COMPUTED_VALUE"""),"219*****ails.pntcv.ntct.edu.tw")</f>
        <v>219*****ails.pntcv.ntct.edu.tw</v>
      </c>
      <c r="D866" s="9" t="str">
        <f>IFERROR(__xludf.DUMMYFUNCTION("""COMPUTED_VALUE"""),"國立南投高級商業職業學校")</f>
        <v>國立南投高級商業職業學校</v>
      </c>
      <c r="E866" s="9" t="str">
        <f>IFERROR(__xludf.DUMMYFUNCTION("""COMPUTED_VALUE"""),"應英科")</f>
        <v>應英科</v>
      </c>
      <c r="F866" s="9" t="str">
        <f>IFERROR(__xludf.DUMMYFUNCTION("""COMPUTED_VALUE"""),"三年級")</f>
        <v>三年級</v>
      </c>
      <c r="G866" s="9" t="str">
        <f>IFERROR(__xludf.DUMMYFUNCTION("""COMPUTED_VALUE"""),"獎狀")</f>
        <v>獎狀</v>
      </c>
      <c r="H866" s="9"/>
    </row>
    <row r="867">
      <c r="A867" s="13" t="s">
        <v>11</v>
      </c>
      <c r="B867" s="9" t="str">
        <f>IFERROR(__xludf.DUMMYFUNCTION("""COMPUTED_VALUE"""),"蕭O妤")</f>
        <v>蕭O妤</v>
      </c>
      <c r="C867" s="9" t="str">
        <f>IFERROR(__xludf.DUMMYFUNCTION("""COMPUTED_VALUE"""),"s01*****.ntct@go.edu.tw")</f>
        <v>s01*****.ntct@go.edu.tw</v>
      </c>
      <c r="D867" s="9" t="str">
        <f>IFERROR(__xludf.DUMMYFUNCTION("""COMPUTED_VALUE"""),"南投縣私立五育高級中學")</f>
        <v>南投縣私立五育高級中學</v>
      </c>
      <c r="E867" s="9" t="str">
        <f>IFERROR(__xludf.DUMMYFUNCTION("""COMPUTED_VALUE"""),"照顧服務科")</f>
        <v>照顧服務科</v>
      </c>
      <c r="F867" s="9" t="str">
        <f>IFERROR(__xludf.DUMMYFUNCTION("""COMPUTED_VALUE"""),"二年級")</f>
        <v>二年級</v>
      </c>
      <c r="G867" s="9" t="str">
        <f>IFERROR(__xludf.DUMMYFUNCTION("""COMPUTED_VALUE"""),"獎狀")</f>
        <v>獎狀</v>
      </c>
      <c r="H867" s="9"/>
    </row>
    <row r="868">
      <c r="A868" s="13" t="s">
        <v>11</v>
      </c>
      <c r="B868" s="9" t="str">
        <f>IFERROR(__xludf.DUMMYFUNCTION("""COMPUTED_VALUE"""),"陳O穎")</f>
        <v>陳O穎</v>
      </c>
      <c r="C868" s="9" t="str">
        <f>IFERROR(__xludf.DUMMYFUNCTION("""COMPUTED_VALUE"""),"s11*****5@stu.mail.ttvs.ntct.edu.tw")</f>
        <v>s11*****5@stu.mail.ttvs.ntct.edu.tw</v>
      </c>
      <c r="D868" s="9" t="str">
        <f>IFERROR(__xludf.DUMMYFUNCTION("""COMPUTED_VALUE"""),"國立草屯高級商工職業學校")</f>
        <v>國立草屯高級商工職業學校</v>
      </c>
      <c r="E868" s="9" t="str">
        <f>IFERROR(__xludf.DUMMYFUNCTION("""COMPUTED_VALUE"""),"會計事務科")</f>
        <v>會計事務科</v>
      </c>
      <c r="F868" s="9" t="str">
        <f>IFERROR(__xludf.DUMMYFUNCTION("""COMPUTED_VALUE"""),"三年級")</f>
        <v>三年級</v>
      </c>
      <c r="G868" s="9" t="str">
        <f>IFERROR(__xludf.DUMMYFUNCTION("""COMPUTED_VALUE"""),"獎狀")</f>
        <v>獎狀</v>
      </c>
      <c r="H868" s="9"/>
    </row>
    <row r="869">
      <c r="A869" s="13" t="s">
        <v>11</v>
      </c>
      <c r="B869" s="9" t="str">
        <f>IFERROR(__xludf.DUMMYFUNCTION("""COMPUTED_VALUE"""),"陳O媗")</f>
        <v>陳O媗</v>
      </c>
      <c r="C869" s="9" t="str">
        <f>IFERROR(__xludf.DUMMYFUNCTION("""COMPUTED_VALUE"""),"s11*****0@stu.mail.ttvs.ntct.edu.tw")</f>
        <v>s11*****0@stu.mail.ttvs.ntct.edu.tw</v>
      </c>
      <c r="D869" s="9" t="str">
        <f>IFERROR(__xludf.DUMMYFUNCTION("""COMPUTED_VALUE"""),"國立草屯高級商工職業學校")</f>
        <v>國立草屯高級商工職業學校</v>
      </c>
      <c r="E869" s="9" t="str">
        <f>IFERROR(__xludf.DUMMYFUNCTION("""COMPUTED_VALUE"""),"應英科")</f>
        <v>應英科</v>
      </c>
      <c r="F869" s="9" t="str">
        <f>IFERROR(__xludf.DUMMYFUNCTION("""COMPUTED_VALUE"""),"二年級")</f>
        <v>二年級</v>
      </c>
      <c r="G869" s="9" t="str">
        <f>IFERROR(__xludf.DUMMYFUNCTION("""COMPUTED_VALUE"""),"獎狀")</f>
        <v>獎狀</v>
      </c>
      <c r="H869" s="9"/>
    </row>
    <row r="870">
      <c r="A870" s="13" t="s">
        <v>11</v>
      </c>
      <c r="B870" s="9" t="str">
        <f>IFERROR(__xludf.DUMMYFUNCTION("""COMPUTED_VALUE"""),"潘O聿")</f>
        <v>潘O聿</v>
      </c>
      <c r="C870" s="9" t="str">
        <f>IFERROR(__xludf.DUMMYFUNCTION("""COMPUTED_VALUE"""),"s21*****pshs.ntct.edu.tw")</f>
        <v>s21*****pshs.ntct.edu.tw</v>
      </c>
      <c r="D870" s="9" t="str">
        <f>IFERROR(__xludf.DUMMYFUNCTION("""COMPUTED_VALUE"""),"國立暨南國際大學附屬高級中學")</f>
        <v>國立暨南國際大學附屬高級中學</v>
      </c>
      <c r="E870" s="9" t="str">
        <f>IFERROR(__xludf.DUMMYFUNCTION("""COMPUTED_VALUE"""),"商業經營科")</f>
        <v>商業經營科</v>
      </c>
      <c r="F870" s="9" t="str">
        <f>IFERROR(__xludf.DUMMYFUNCTION("""COMPUTED_VALUE"""),"三年級")</f>
        <v>三年級</v>
      </c>
      <c r="G870" s="9" t="str">
        <f>IFERROR(__xludf.DUMMYFUNCTION("""COMPUTED_VALUE"""),"獎狀")</f>
        <v>獎狀</v>
      </c>
      <c r="H870" s="9"/>
    </row>
    <row r="871">
      <c r="A871" s="13" t="s">
        <v>11</v>
      </c>
      <c r="B871" s="9" t="str">
        <f>IFERROR(__xludf.DUMMYFUNCTION("""COMPUTED_VALUE"""),"陳O宇")</f>
        <v>陳O宇</v>
      </c>
      <c r="C871" s="9" t="str">
        <f>IFERROR(__xludf.DUMMYFUNCTION("""COMPUTED_VALUE"""),"s21*****pshs.ntct.edu.tw")</f>
        <v>s21*****pshs.ntct.edu.tw</v>
      </c>
      <c r="D871" s="9" t="str">
        <f>IFERROR(__xludf.DUMMYFUNCTION("""COMPUTED_VALUE"""),"國立暨南國際大學附屬高級中學")</f>
        <v>國立暨南國際大學附屬高級中學</v>
      </c>
      <c r="E871" s="9" t="str">
        <f>IFERROR(__xludf.DUMMYFUNCTION("""COMPUTED_VALUE"""),"商業經營科")</f>
        <v>商業經營科</v>
      </c>
      <c r="F871" s="9" t="str">
        <f>IFERROR(__xludf.DUMMYFUNCTION("""COMPUTED_VALUE"""),"三年級")</f>
        <v>三年級</v>
      </c>
      <c r="G871" s="9" t="str">
        <f>IFERROR(__xludf.DUMMYFUNCTION("""COMPUTED_VALUE"""),"獎狀")</f>
        <v>獎狀</v>
      </c>
      <c r="H871" s="9"/>
    </row>
    <row r="872">
      <c r="A872" s="13" t="s">
        <v>11</v>
      </c>
      <c r="B872" s="9" t="str">
        <f>IFERROR(__xludf.DUMMYFUNCTION("""COMPUTED_VALUE"""),"王O懿")</f>
        <v>王O懿</v>
      </c>
      <c r="C872" s="9" t="str">
        <f>IFERROR(__xludf.DUMMYFUNCTION("""COMPUTED_VALUE"""),"s21*****pshs.ntct.edu.tw")</f>
        <v>s21*****pshs.ntct.edu.tw</v>
      </c>
      <c r="D872" s="9" t="str">
        <f>IFERROR(__xludf.DUMMYFUNCTION("""COMPUTED_VALUE"""),"國立暨南國際大學附屬高級中學")</f>
        <v>國立暨南國際大學附屬高級中學</v>
      </c>
      <c r="E872" s="9" t="str">
        <f>IFERROR(__xludf.DUMMYFUNCTION("""COMPUTED_VALUE"""),"商業經營科")</f>
        <v>商業經營科</v>
      </c>
      <c r="F872" s="9" t="str">
        <f>IFERROR(__xludf.DUMMYFUNCTION("""COMPUTED_VALUE"""),"三年級")</f>
        <v>三年級</v>
      </c>
      <c r="G872" s="9" t="str">
        <f>IFERROR(__xludf.DUMMYFUNCTION("""COMPUTED_VALUE"""),"獎狀")</f>
        <v>獎狀</v>
      </c>
      <c r="H872" s="9"/>
    </row>
    <row r="873">
      <c r="A873" s="13" t="s">
        <v>11</v>
      </c>
      <c r="B873" s="9" t="str">
        <f>IFERROR(__xludf.DUMMYFUNCTION("""COMPUTED_VALUE"""),"徐O昀")</f>
        <v>徐O昀</v>
      </c>
      <c r="C873" s="9" t="str">
        <f>IFERROR(__xludf.DUMMYFUNCTION("""COMPUTED_VALUE"""),"s01*****@mail.edu.tw")</f>
        <v>s01*****@mail.edu.tw</v>
      </c>
      <c r="D873" s="9" t="str">
        <f>IFERROR(__xludf.DUMMYFUNCTION("""COMPUTED_VALUE"""),"國立暨南國際大學附屬高級中學")</f>
        <v>國立暨南國際大學附屬高級中學</v>
      </c>
      <c r="E873" s="9" t="str">
        <f>IFERROR(__xludf.DUMMYFUNCTION("""COMPUTED_VALUE"""),"國貿科")</f>
        <v>國貿科</v>
      </c>
      <c r="F873" s="9" t="str">
        <f>IFERROR(__xludf.DUMMYFUNCTION("""COMPUTED_VALUE"""),"二年級")</f>
        <v>二年級</v>
      </c>
      <c r="G873" s="9" t="str">
        <f>IFERROR(__xludf.DUMMYFUNCTION("""COMPUTED_VALUE"""),"獎狀")</f>
        <v>獎狀</v>
      </c>
      <c r="H873" s="9"/>
    </row>
    <row r="874">
      <c r="A874" s="13" t="s">
        <v>11</v>
      </c>
      <c r="B874" s="9" t="str">
        <f>IFERROR(__xludf.DUMMYFUNCTION("""COMPUTED_VALUE"""),"賴O仁")</f>
        <v>賴O仁</v>
      </c>
      <c r="C874" s="9" t="str">
        <f>IFERROR(__xludf.DUMMYFUNCTION("""COMPUTED_VALUE"""),"s31*****pshs.ntct.edu.tw")</f>
        <v>s31*****pshs.ntct.edu.tw</v>
      </c>
      <c r="D874" s="9" t="str">
        <f>IFERROR(__xludf.DUMMYFUNCTION("""COMPUTED_VALUE"""),"國立暨南國際大學附屬高級中學")</f>
        <v>國立暨南國際大學附屬高級中學</v>
      </c>
      <c r="E874" s="9" t="str">
        <f>IFERROR(__xludf.DUMMYFUNCTION("""COMPUTED_VALUE"""),"國貿科")</f>
        <v>國貿科</v>
      </c>
      <c r="F874" s="9" t="str">
        <f>IFERROR(__xludf.DUMMYFUNCTION("""COMPUTED_VALUE"""),"二年級")</f>
        <v>二年級</v>
      </c>
      <c r="G874" s="9" t="str">
        <f>IFERROR(__xludf.DUMMYFUNCTION("""COMPUTED_VALUE"""),"■商品卡$200")</f>
        <v>■商品卡$200</v>
      </c>
      <c r="H874" s="9"/>
    </row>
    <row r="875">
      <c r="A875" s="13" t="s">
        <v>11</v>
      </c>
      <c r="B875" s="9" t="str">
        <f>IFERROR(__xludf.DUMMYFUNCTION("""COMPUTED_VALUE"""),"黃O瑀")</f>
        <v>黃O瑀</v>
      </c>
      <c r="C875" s="9" t="str">
        <f>IFERROR(__xludf.DUMMYFUNCTION("""COMPUTED_VALUE"""),"s31*****pshs.ntct.edu.tw")</f>
        <v>s31*****pshs.ntct.edu.tw</v>
      </c>
      <c r="D875" s="9" t="str">
        <f>IFERROR(__xludf.DUMMYFUNCTION("""COMPUTED_VALUE"""),"國立暨南國際大學附屬高級中學")</f>
        <v>國立暨南國際大學附屬高級中學</v>
      </c>
      <c r="E875" s="9" t="str">
        <f>IFERROR(__xludf.DUMMYFUNCTION("""COMPUTED_VALUE"""),"國貿科")</f>
        <v>國貿科</v>
      </c>
      <c r="F875" s="9" t="str">
        <f>IFERROR(__xludf.DUMMYFUNCTION("""COMPUTED_VALUE"""),"二年級")</f>
        <v>二年級</v>
      </c>
      <c r="G875" s="9" t="str">
        <f>IFERROR(__xludf.DUMMYFUNCTION("""COMPUTED_VALUE"""),"獎狀")</f>
        <v>獎狀</v>
      </c>
      <c r="H875" s="9"/>
    </row>
    <row r="876">
      <c r="A876" s="13" t="s">
        <v>11</v>
      </c>
      <c r="B876" s="9" t="str">
        <f>IFERROR(__xludf.DUMMYFUNCTION("""COMPUTED_VALUE"""),"高O鈞")</f>
        <v>高O鈞</v>
      </c>
      <c r="C876" s="9" t="str">
        <f>IFERROR(__xludf.DUMMYFUNCTION("""COMPUTED_VALUE"""),"kao*****n0307@gmail.com")</f>
        <v>kao*****n0307@gmail.com</v>
      </c>
      <c r="D876" s="9" t="str">
        <f>IFERROR(__xludf.DUMMYFUNCTION("""COMPUTED_VALUE"""),"國立暨南國際大學附屬高級中學")</f>
        <v>國立暨南國際大學附屬高級中學</v>
      </c>
      <c r="E876" s="9" t="str">
        <f>IFERROR(__xludf.DUMMYFUNCTION("""COMPUTED_VALUE"""),"電子商務科")</f>
        <v>電子商務科</v>
      </c>
      <c r="F876" s="9" t="str">
        <f>IFERROR(__xludf.DUMMYFUNCTION("""COMPUTED_VALUE"""),"二年級")</f>
        <v>二年級</v>
      </c>
      <c r="G876" s="9" t="str">
        <f>IFERROR(__xludf.DUMMYFUNCTION("""COMPUTED_VALUE"""),"獎狀")</f>
        <v>獎狀</v>
      </c>
      <c r="H876" s="9"/>
    </row>
    <row r="877">
      <c r="A877" s="13" t="s">
        <v>11</v>
      </c>
      <c r="B877" s="9" t="str">
        <f>IFERROR(__xludf.DUMMYFUNCTION("""COMPUTED_VALUE"""),"蕭O芳")</f>
        <v>蕭O芳</v>
      </c>
      <c r="C877" s="9" t="str">
        <f>IFERROR(__xludf.DUMMYFUNCTION("""COMPUTED_VALUE"""),"s31*****pshs.ntct.edu.tw")</f>
        <v>s31*****pshs.ntct.edu.tw</v>
      </c>
      <c r="D877" s="9" t="str">
        <f>IFERROR(__xludf.DUMMYFUNCTION("""COMPUTED_VALUE"""),"國立暨南國際大學附屬高級中學")</f>
        <v>國立暨南國際大學附屬高級中學</v>
      </c>
      <c r="E877" s="9" t="str">
        <f>IFERROR(__xludf.DUMMYFUNCTION("""COMPUTED_VALUE"""),"電子商務科")</f>
        <v>電子商務科</v>
      </c>
      <c r="F877" s="9" t="str">
        <f>IFERROR(__xludf.DUMMYFUNCTION("""COMPUTED_VALUE"""),"二年級")</f>
        <v>二年級</v>
      </c>
      <c r="G877" s="9" t="str">
        <f>IFERROR(__xludf.DUMMYFUNCTION("""COMPUTED_VALUE"""),"獎狀")</f>
        <v>獎狀</v>
      </c>
      <c r="H877" s="9"/>
    </row>
    <row r="878">
      <c r="A878" s="13" t="s">
        <v>11</v>
      </c>
      <c r="B878" s="9" t="str">
        <f>IFERROR(__xludf.DUMMYFUNCTION("""COMPUTED_VALUE"""),"黃O瀅")</f>
        <v>黃O瀅</v>
      </c>
      <c r="C878" s="9" t="str">
        <f>IFERROR(__xludf.DUMMYFUNCTION("""COMPUTED_VALUE"""),"s31*****pshs.ntct.edu.tw")</f>
        <v>s31*****pshs.ntct.edu.tw</v>
      </c>
      <c r="D878" s="9" t="str">
        <f>IFERROR(__xludf.DUMMYFUNCTION("""COMPUTED_VALUE"""),"國立暨南國際大學附屬高級中學")</f>
        <v>國立暨南國際大學附屬高級中學</v>
      </c>
      <c r="E878" s="9" t="str">
        <f>IFERROR(__xludf.DUMMYFUNCTION("""COMPUTED_VALUE"""),"電子商務科")</f>
        <v>電子商務科</v>
      </c>
      <c r="F878" s="9" t="str">
        <f>IFERROR(__xludf.DUMMYFUNCTION("""COMPUTED_VALUE"""),"二年級")</f>
        <v>二年級</v>
      </c>
      <c r="G878" s="9" t="str">
        <f>IFERROR(__xludf.DUMMYFUNCTION("""COMPUTED_VALUE"""),"獎狀")</f>
        <v>獎狀</v>
      </c>
      <c r="H878" s="9"/>
    </row>
    <row r="879">
      <c r="A879" s="13" t="s">
        <v>11</v>
      </c>
      <c r="B879" s="9" t="str">
        <f>IFERROR(__xludf.DUMMYFUNCTION("""COMPUTED_VALUE"""),"潘O鑫")</f>
        <v>潘O鑫</v>
      </c>
      <c r="C879" s="9" t="str">
        <f>IFERROR(__xludf.DUMMYFUNCTION("""COMPUTED_VALUE"""),"s21*****pshs.ntct.edu.tw")</f>
        <v>s21*****pshs.ntct.edu.tw</v>
      </c>
      <c r="D879" s="9" t="str">
        <f>IFERROR(__xludf.DUMMYFUNCTION("""COMPUTED_VALUE"""),"國立暨南國際大學附屬高級中學")</f>
        <v>國立暨南國際大學附屬高級中學</v>
      </c>
      <c r="E879" s="9" t="str">
        <f>IFERROR(__xludf.DUMMYFUNCTION("""COMPUTED_VALUE"""),"電子商務科")</f>
        <v>電子商務科</v>
      </c>
      <c r="F879" s="9" t="str">
        <f>IFERROR(__xludf.DUMMYFUNCTION("""COMPUTED_VALUE"""),"三年級")</f>
        <v>三年級</v>
      </c>
      <c r="G879" s="9" t="str">
        <f>IFERROR(__xludf.DUMMYFUNCTION("""COMPUTED_VALUE"""),"獎狀")</f>
        <v>獎狀</v>
      </c>
      <c r="H879" s="9"/>
    </row>
    <row r="880">
      <c r="A880" s="13" t="s">
        <v>11</v>
      </c>
      <c r="B880" s="9" t="str">
        <f>IFERROR(__xludf.DUMMYFUNCTION("""COMPUTED_VALUE"""),"黃O智")</f>
        <v>黃O智</v>
      </c>
      <c r="C880" s="9" t="str">
        <f>IFERROR(__xludf.DUMMYFUNCTION("""COMPUTED_VALUE"""),"s21*****pshs.ntct.edu.tw")</f>
        <v>s21*****pshs.ntct.edu.tw</v>
      </c>
      <c r="D880" s="9" t="str">
        <f>IFERROR(__xludf.DUMMYFUNCTION("""COMPUTED_VALUE"""),"國立暨南國際大學附屬高級中學")</f>
        <v>國立暨南國際大學附屬高級中學</v>
      </c>
      <c r="E880" s="9" t="str">
        <f>IFERROR(__xludf.DUMMYFUNCTION("""COMPUTED_VALUE"""),"電子商務科")</f>
        <v>電子商務科</v>
      </c>
      <c r="F880" s="9" t="str">
        <f>IFERROR(__xludf.DUMMYFUNCTION("""COMPUTED_VALUE"""),"三年級")</f>
        <v>三年級</v>
      </c>
      <c r="G880" s="9" t="str">
        <f>IFERROR(__xludf.DUMMYFUNCTION("""COMPUTED_VALUE"""),"獎狀")</f>
        <v>獎狀</v>
      </c>
      <c r="H880" s="9"/>
    </row>
    <row r="881">
      <c r="A881" s="13" t="s">
        <v>11</v>
      </c>
      <c r="B881" s="9" t="str">
        <f>IFERROR(__xludf.DUMMYFUNCTION("""COMPUTED_VALUE"""),"陳O穎")</f>
        <v>陳O穎</v>
      </c>
      <c r="C881" s="9" t="str">
        <f>IFERROR(__xludf.DUMMYFUNCTION("""COMPUTED_VALUE"""),"s21*****pshs.ntct.edu.tw")</f>
        <v>s21*****pshs.ntct.edu.tw</v>
      </c>
      <c r="D881" s="9" t="str">
        <f>IFERROR(__xludf.DUMMYFUNCTION("""COMPUTED_VALUE"""),"國立暨南國際大學附屬高級中學")</f>
        <v>國立暨南國際大學附屬高級中學</v>
      </c>
      <c r="E881" s="9" t="str">
        <f>IFERROR(__xludf.DUMMYFUNCTION("""COMPUTED_VALUE"""),"電子商務科")</f>
        <v>電子商務科</v>
      </c>
      <c r="F881" s="9" t="str">
        <f>IFERROR(__xludf.DUMMYFUNCTION("""COMPUTED_VALUE"""),"三年級")</f>
        <v>三年級</v>
      </c>
      <c r="G881" s="9" t="str">
        <f>IFERROR(__xludf.DUMMYFUNCTION("""COMPUTED_VALUE"""),"獎狀")</f>
        <v>獎狀</v>
      </c>
      <c r="H881" s="9"/>
    </row>
    <row r="882">
      <c r="A882" s="13" t="s">
        <v>11</v>
      </c>
      <c r="B882" s="9" t="str">
        <f>IFERROR(__xludf.DUMMYFUNCTION("""COMPUTED_VALUE"""),"李O暄")</f>
        <v>李O暄</v>
      </c>
      <c r="C882" s="9" t="str">
        <f>IFERROR(__xludf.DUMMYFUNCTION("""COMPUTED_VALUE"""),"s21*****pshs.ntct.edu.tw")</f>
        <v>s21*****pshs.ntct.edu.tw</v>
      </c>
      <c r="D882" s="9" t="str">
        <f>IFERROR(__xludf.DUMMYFUNCTION("""COMPUTED_VALUE"""),"國立暨南國際大學附屬高級中學")</f>
        <v>國立暨南國際大學附屬高級中學</v>
      </c>
      <c r="E882" s="9" t="str">
        <f>IFERROR(__xludf.DUMMYFUNCTION("""COMPUTED_VALUE"""),"電子商務科")</f>
        <v>電子商務科</v>
      </c>
      <c r="F882" s="9" t="str">
        <f>IFERROR(__xludf.DUMMYFUNCTION("""COMPUTED_VALUE"""),"三年級")</f>
        <v>三年級</v>
      </c>
      <c r="G882" s="9" t="str">
        <f>IFERROR(__xludf.DUMMYFUNCTION("""COMPUTED_VALUE"""),"獎狀")</f>
        <v>獎狀</v>
      </c>
      <c r="H882" s="9"/>
    </row>
    <row r="883">
      <c r="A883" s="13" t="s">
        <v>11</v>
      </c>
      <c r="B883" s="9" t="str">
        <f>IFERROR(__xludf.DUMMYFUNCTION("""COMPUTED_VALUE"""),"石O捷")</f>
        <v>石O捷</v>
      </c>
      <c r="C883" s="9" t="str">
        <f>IFERROR(__xludf.DUMMYFUNCTION("""COMPUTED_VALUE"""),"s21*****pshs.ntct.edu.tw")</f>
        <v>s21*****pshs.ntct.edu.tw</v>
      </c>
      <c r="D883" s="9" t="str">
        <f>IFERROR(__xludf.DUMMYFUNCTION("""COMPUTED_VALUE"""),"國立暨南國際大學附屬高級中學")</f>
        <v>國立暨南國際大學附屬高級中學</v>
      </c>
      <c r="E883" s="9" t="str">
        <f>IFERROR(__xludf.DUMMYFUNCTION("""COMPUTED_VALUE"""),"電子商務科")</f>
        <v>電子商務科</v>
      </c>
      <c r="F883" s="9" t="str">
        <f>IFERROR(__xludf.DUMMYFUNCTION("""COMPUTED_VALUE"""),"三年級")</f>
        <v>三年級</v>
      </c>
      <c r="G883" s="9" t="str">
        <f>IFERROR(__xludf.DUMMYFUNCTION("""COMPUTED_VALUE"""),"★商品卡$1000")</f>
        <v>★商品卡$1000</v>
      </c>
      <c r="H883" s="9"/>
    </row>
    <row r="884">
      <c r="A884" s="13" t="s">
        <v>11</v>
      </c>
      <c r="B884" s="9" t="str">
        <f>IFERROR(__xludf.DUMMYFUNCTION("""COMPUTED_VALUE"""),"林O丞")</f>
        <v>林O丞</v>
      </c>
      <c r="C884" s="9" t="str">
        <f>IFERROR(__xludf.DUMMYFUNCTION("""COMPUTED_VALUE"""),"s21*****pshs.ntct.edu.tw")</f>
        <v>s21*****pshs.ntct.edu.tw</v>
      </c>
      <c r="D884" s="9" t="str">
        <f>IFERROR(__xludf.DUMMYFUNCTION("""COMPUTED_VALUE"""),"國立暨南國際大學附屬高級中學")</f>
        <v>國立暨南國際大學附屬高級中學</v>
      </c>
      <c r="E884" s="9" t="str">
        <f>IFERROR(__xludf.DUMMYFUNCTION("""COMPUTED_VALUE"""),"電子商務科")</f>
        <v>電子商務科</v>
      </c>
      <c r="F884" s="9" t="str">
        <f>IFERROR(__xludf.DUMMYFUNCTION("""COMPUTED_VALUE"""),"三年級")</f>
        <v>三年級</v>
      </c>
      <c r="G884" s="9" t="str">
        <f>IFERROR(__xludf.DUMMYFUNCTION("""COMPUTED_VALUE"""),"獎狀")</f>
        <v>獎狀</v>
      </c>
      <c r="H884" s="9"/>
    </row>
    <row r="885">
      <c r="A885" s="13" t="s">
        <v>11</v>
      </c>
      <c r="B885" s="9" t="str">
        <f>IFERROR(__xludf.DUMMYFUNCTION("""COMPUTED_VALUE"""),"洪O旻")</f>
        <v>洪O旻</v>
      </c>
      <c r="C885" s="9" t="str">
        <f>IFERROR(__xludf.DUMMYFUNCTION("""COMPUTED_VALUE"""),"s21*****pshs.ntct.edu.tw")</f>
        <v>s21*****pshs.ntct.edu.tw</v>
      </c>
      <c r="D885" s="9" t="str">
        <f>IFERROR(__xludf.DUMMYFUNCTION("""COMPUTED_VALUE"""),"國立暨南國際大學附屬高級中學")</f>
        <v>國立暨南國際大學附屬高級中學</v>
      </c>
      <c r="E885" s="9" t="str">
        <f>IFERROR(__xludf.DUMMYFUNCTION("""COMPUTED_VALUE"""),"電子商務科")</f>
        <v>電子商務科</v>
      </c>
      <c r="F885" s="9" t="str">
        <f>IFERROR(__xludf.DUMMYFUNCTION("""COMPUTED_VALUE"""),"三年級")</f>
        <v>三年級</v>
      </c>
      <c r="G885" s="9" t="str">
        <f>IFERROR(__xludf.DUMMYFUNCTION("""COMPUTED_VALUE"""),"獎狀")</f>
        <v>獎狀</v>
      </c>
      <c r="H885" s="9"/>
    </row>
    <row r="886">
      <c r="A886" s="13" t="s">
        <v>11</v>
      </c>
      <c r="B886" s="9" t="str">
        <f>IFERROR(__xludf.DUMMYFUNCTION("""COMPUTED_VALUE"""),"林O秀")</f>
        <v>林O秀</v>
      </c>
      <c r="C886" s="9" t="str">
        <f>IFERROR(__xludf.DUMMYFUNCTION("""COMPUTED_VALUE"""),"san*****5.cy@mail.edu.tw")</f>
        <v>san*****5.cy@mail.edu.tw</v>
      </c>
      <c r="D886" s="9" t="str">
        <f>IFERROR(__xludf.DUMMYFUNCTION("""COMPUTED_VALUE"""),"國立華南高級商業職業學校")</f>
        <v>國立華南高級商業職業學校</v>
      </c>
      <c r="E886" s="9" t="str">
        <f>IFERROR(__xludf.DUMMYFUNCTION("""COMPUTED_VALUE"""),"資料處理科")</f>
        <v>資料處理科</v>
      </c>
      <c r="F886" s="9" t="str">
        <f>IFERROR(__xludf.DUMMYFUNCTION("""COMPUTED_VALUE"""),"一年級")</f>
        <v>一年級</v>
      </c>
      <c r="G886" s="9" t="str">
        <f>IFERROR(__xludf.DUMMYFUNCTION("""COMPUTED_VALUE"""),"■商品卡$200")</f>
        <v>■商品卡$200</v>
      </c>
      <c r="H886" s="9"/>
    </row>
    <row r="887">
      <c r="A887" s="13" t="s">
        <v>11</v>
      </c>
      <c r="B887" s="9" t="str">
        <f>IFERROR(__xludf.DUMMYFUNCTION("""COMPUTED_VALUE"""),"葉O齊")</f>
        <v>葉O齊</v>
      </c>
      <c r="C887" s="9" t="str">
        <f>IFERROR(__xludf.DUMMYFUNCTION("""COMPUTED_VALUE"""),"gpp*****74@mail.edu.tw")</f>
        <v>gpp*****74@mail.edu.tw</v>
      </c>
      <c r="D887" s="9" t="str">
        <f>IFERROR(__xludf.DUMMYFUNCTION("""COMPUTED_VALUE"""),"國立華南高級商業職業學校")</f>
        <v>國立華南高級商業職業學校</v>
      </c>
      <c r="E887" s="9" t="str">
        <f>IFERROR(__xludf.DUMMYFUNCTION("""COMPUTED_VALUE"""),"電子商務")</f>
        <v>電子商務</v>
      </c>
      <c r="F887" s="9" t="str">
        <f>IFERROR(__xludf.DUMMYFUNCTION("""COMPUTED_VALUE"""),"二年級")</f>
        <v>二年級</v>
      </c>
      <c r="G887" s="9" t="str">
        <f>IFERROR(__xludf.DUMMYFUNCTION("""COMPUTED_VALUE"""),"獎狀")</f>
        <v>獎狀</v>
      </c>
      <c r="H887" s="9"/>
    </row>
    <row r="888">
      <c r="A888" s="13" t="s">
        <v>11</v>
      </c>
      <c r="B888" s="9" t="str">
        <f>IFERROR(__xludf.DUMMYFUNCTION("""COMPUTED_VALUE"""),"陳O儒")</f>
        <v>陳O儒</v>
      </c>
      <c r="C888" s="9" t="str">
        <f>IFERROR(__xludf.DUMMYFUNCTION("""COMPUTED_VALUE"""),"cys*****80@mail.edu.tw")</f>
        <v>cys*****80@mail.edu.tw</v>
      </c>
      <c r="D888" s="9" t="str">
        <f>IFERROR(__xludf.DUMMYFUNCTION("""COMPUTED_VALUE"""),"國立華南高級商業職業學校")</f>
        <v>國立華南高級商業職業學校</v>
      </c>
      <c r="E888" s="9" t="str">
        <f>IFERROR(__xludf.DUMMYFUNCTION("""COMPUTED_VALUE"""),"電子商務")</f>
        <v>電子商務</v>
      </c>
      <c r="F888" s="9" t="str">
        <f>IFERROR(__xludf.DUMMYFUNCTION("""COMPUTED_VALUE"""),"二年級")</f>
        <v>二年級</v>
      </c>
      <c r="G888" s="9" t="str">
        <f>IFERROR(__xludf.DUMMYFUNCTION("""COMPUTED_VALUE"""),"獎狀")</f>
        <v>獎狀</v>
      </c>
      <c r="H888" s="9"/>
    </row>
    <row r="889">
      <c r="A889" s="13" t="s">
        <v>11</v>
      </c>
      <c r="B889" s="9" t="str">
        <f>IFERROR(__xludf.DUMMYFUNCTION("""COMPUTED_VALUE"""),"李O婷")</f>
        <v>李O婷</v>
      </c>
      <c r="C889" s="9" t="str">
        <f>IFERROR(__xludf.DUMMYFUNCTION("""COMPUTED_VALUE"""),"lil*****03@mail.edu.tw")</f>
        <v>lil*****03@mail.edu.tw</v>
      </c>
      <c r="D889" s="9" t="str">
        <f>IFERROR(__xludf.DUMMYFUNCTION("""COMPUTED_VALUE"""),"國立華南高級商業職業學校")</f>
        <v>國立華南高級商業職業學校</v>
      </c>
      <c r="E889" s="9" t="str">
        <f>IFERROR(__xludf.DUMMYFUNCTION("""COMPUTED_VALUE"""),"電子商務")</f>
        <v>電子商務</v>
      </c>
      <c r="F889" s="9" t="str">
        <f>IFERROR(__xludf.DUMMYFUNCTION("""COMPUTED_VALUE"""),"二年級")</f>
        <v>二年級</v>
      </c>
      <c r="G889" s="9" t="str">
        <f>IFERROR(__xludf.DUMMYFUNCTION("""COMPUTED_VALUE"""),"獎狀")</f>
        <v>獎狀</v>
      </c>
      <c r="H889" s="9"/>
    </row>
    <row r="890">
      <c r="A890" s="13" t="s">
        <v>11</v>
      </c>
      <c r="B890" s="9" t="str">
        <f>IFERROR(__xludf.DUMMYFUNCTION("""COMPUTED_VALUE"""),"郭O芸")</f>
        <v>郭O芸</v>
      </c>
      <c r="C890" s="9" t="str">
        <f>IFERROR(__xludf.DUMMYFUNCTION("""COMPUTED_VALUE"""),"pen*****@mail.edu.tw")</f>
        <v>pen*****@mail.edu.tw</v>
      </c>
      <c r="D890" s="9" t="str">
        <f>IFERROR(__xludf.DUMMYFUNCTION("""COMPUTED_VALUE"""),"國立華南高級商業職業學校")</f>
        <v>國立華南高級商業職業學校</v>
      </c>
      <c r="E890" s="9" t="str">
        <f>IFERROR(__xludf.DUMMYFUNCTION("""COMPUTED_VALUE"""),"電子商務科")</f>
        <v>電子商務科</v>
      </c>
      <c r="F890" s="9" t="str">
        <f>IFERROR(__xludf.DUMMYFUNCTION("""COMPUTED_VALUE"""),"二年級")</f>
        <v>二年級</v>
      </c>
      <c r="G890" s="9" t="str">
        <f>IFERROR(__xludf.DUMMYFUNCTION("""COMPUTED_VALUE"""),"獎狀")</f>
        <v>獎狀</v>
      </c>
      <c r="H890" s="9"/>
    </row>
    <row r="891">
      <c r="A891" s="13" t="s">
        <v>11</v>
      </c>
      <c r="B891" s="9" t="str">
        <f>IFERROR(__xludf.DUMMYFUNCTION("""COMPUTED_VALUE"""),"江O昱")</f>
        <v>江O昱</v>
      </c>
      <c r="C891" s="9" t="str">
        <f>IFERROR(__xludf.DUMMYFUNCTION("""COMPUTED_VALUE"""),"jac*****10@mail.edu.tw")</f>
        <v>jac*****10@mail.edu.tw</v>
      </c>
      <c r="D891" s="9" t="str">
        <f>IFERROR(__xludf.DUMMYFUNCTION("""COMPUTED_VALUE"""),"國立華南高級商業職業學校")</f>
        <v>國立華南高級商業職業學校</v>
      </c>
      <c r="E891" s="9" t="str">
        <f>IFERROR(__xludf.DUMMYFUNCTION("""COMPUTED_VALUE"""),"電子商務科")</f>
        <v>電子商務科</v>
      </c>
      <c r="F891" s="9" t="str">
        <f>IFERROR(__xludf.DUMMYFUNCTION("""COMPUTED_VALUE"""),"二年級")</f>
        <v>二年級</v>
      </c>
      <c r="G891" s="9" t="str">
        <f>IFERROR(__xludf.DUMMYFUNCTION("""COMPUTED_VALUE"""),"獎狀")</f>
        <v>獎狀</v>
      </c>
      <c r="H891" s="9"/>
    </row>
    <row r="892">
      <c r="A892" s="13" t="s">
        <v>11</v>
      </c>
      <c r="B892" s="9" t="str">
        <f>IFERROR(__xludf.DUMMYFUNCTION("""COMPUTED_VALUE"""),"游O媜")</f>
        <v>游O媜</v>
      </c>
      <c r="C892" s="9" t="str">
        <f>IFERROR(__xludf.DUMMYFUNCTION("""COMPUTED_VALUE"""),"eri*****222@mail.edu.tw")</f>
        <v>eri*****222@mail.edu.tw</v>
      </c>
      <c r="D892" s="9" t="str">
        <f>IFERROR(__xludf.DUMMYFUNCTION("""COMPUTED_VALUE"""),"國立華南高級商業職業學校")</f>
        <v>國立華南高級商業職業學校</v>
      </c>
      <c r="E892" s="9" t="str">
        <f>IFERROR(__xludf.DUMMYFUNCTION("""COMPUTED_VALUE"""),"電子商務科")</f>
        <v>電子商務科</v>
      </c>
      <c r="F892" s="9" t="str">
        <f>IFERROR(__xludf.DUMMYFUNCTION("""COMPUTED_VALUE"""),"二年級")</f>
        <v>二年級</v>
      </c>
      <c r="G892" s="9" t="str">
        <f>IFERROR(__xludf.DUMMYFUNCTION("""COMPUTED_VALUE"""),"■商品卡$200")</f>
        <v>■商品卡$200</v>
      </c>
      <c r="H892" s="9"/>
    </row>
    <row r="893">
      <c r="A893" s="13" t="s">
        <v>11</v>
      </c>
      <c r="B893" s="9" t="str">
        <f>IFERROR(__xludf.DUMMYFUNCTION("""COMPUTED_VALUE"""),"林O妡")</f>
        <v>林O妡</v>
      </c>
      <c r="C893" s="9" t="str">
        <f>IFERROR(__xludf.DUMMYFUNCTION("""COMPUTED_VALUE"""),"cyc*****21.lily1@mail.edu.tw")</f>
        <v>cyc*****21.lily1@mail.edu.tw</v>
      </c>
      <c r="D893" s="9" t="str">
        <f>IFERROR(__xludf.DUMMYFUNCTION("""COMPUTED_VALUE"""),"國立華南高級商業職業學校")</f>
        <v>國立華南高級商業職業學校</v>
      </c>
      <c r="E893" s="9" t="str">
        <f>IFERROR(__xludf.DUMMYFUNCTION("""COMPUTED_VALUE"""),"電子商務科")</f>
        <v>電子商務科</v>
      </c>
      <c r="F893" s="9" t="str">
        <f>IFERROR(__xludf.DUMMYFUNCTION("""COMPUTED_VALUE"""),"二年級")</f>
        <v>二年級</v>
      </c>
      <c r="G893" s="9" t="str">
        <f>IFERROR(__xludf.DUMMYFUNCTION("""COMPUTED_VALUE"""),"獎狀")</f>
        <v>獎狀</v>
      </c>
      <c r="H893" s="9"/>
    </row>
    <row r="894">
      <c r="A894" s="13" t="s">
        <v>11</v>
      </c>
      <c r="B894" s="9" t="str">
        <f>IFERROR(__xludf.DUMMYFUNCTION("""COMPUTED_VALUE"""),"張O銜")</f>
        <v>張O銜</v>
      </c>
      <c r="C894" s="9" t="str">
        <f>IFERROR(__xludf.DUMMYFUNCTION("""COMPUTED_VALUE"""),"sh1*****1@mail.edu.tw")</f>
        <v>sh1*****1@mail.edu.tw</v>
      </c>
      <c r="D894" s="9" t="str">
        <f>IFERROR(__xludf.DUMMYFUNCTION("""COMPUTED_VALUE"""),"國立華南高級商業職業學校")</f>
        <v>國立華南高級商業職業學校</v>
      </c>
      <c r="E894" s="9" t="str">
        <f>IFERROR(__xludf.DUMMYFUNCTION("""COMPUTED_VALUE"""),"電子商務科")</f>
        <v>電子商務科</v>
      </c>
      <c r="F894" s="9" t="str">
        <f>IFERROR(__xludf.DUMMYFUNCTION("""COMPUTED_VALUE"""),"二年級")</f>
        <v>二年級</v>
      </c>
      <c r="G894" s="9" t="str">
        <f>IFERROR(__xludf.DUMMYFUNCTION("""COMPUTED_VALUE"""),"■商品卡$200")</f>
        <v>■商品卡$200</v>
      </c>
      <c r="H894" s="9"/>
    </row>
    <row r="895">
      <c r="A895" s="13" t="s">
        <v>11</v>
      </c>
      <c r="B895" s="9" t="str">
        <f>IFERROR(__xludf.DUMMYFUNCTION("""COMPUTED_VALUE"""),"林O丞")</f>
        <v>林O丞</v>
      </c>
      <c r="C895" s="9" t="str">
        <f>IFERROR(__xludf.DUMMYFUNCTION("""COMPUTED_VALUE"""),"gav*****3@mail.edu.tw")</f>
        <v>gav*****3@mail.edu.tw</v>
      </c>
      <c r="D895" s="9" t="str">
        <f>IFERROR(__xludf.DUMMYFUNCTION("""COMPUTED_VALUE"""),"國立華南高級商業職業學校")</f>
        <v>國立華南高級商業職業學校</v>
      </c>
      <c r="E895" s="9" t="str">
        <f>IFERROR(__xludf.DUMMYFUNCTION("""COMPUTED_VALUE"""),"電子商務科")</f>
        <v>電子商務科</v>
      </c>
      <c r="F895" s="9" t="str">
        <f>IFERROR(__xludf.DUMMYFUNCTION("""COMPUTED_VALUE"""),"二年級")</f>
        <v>二年級</v>
      </c>
      <c r="G895" s="9" t="str">
        <f>IFERROR(__xludf.DUMMYFUNCTION("""COMPUTED_VALUE"""),"獎狀")</f>
        <v>獎狀</v>
      </c>
      <c r="H895" s="9"/>
    </row>
    <row r="896">
      <c r="A896" s="13" t="s">
        <v>11</v>
      </c>
      <c r="B896" s="9" t="str">
        <f>IFERROR(__xludf.DUMMYFUNCTION("""COMPUTED_VALUE"""),"何O恩")</f>
        <v>何O恩</v>
      </c>
      <c r="C896" s="9" t="str">
        <f>IFERROR(__xludf.DUMMYFUNCTION("""COMPUTED_VALUE"""),"cyc*****21.andy@mail.edu.tw")</f>
        <v>cyc*****21.andy@mail.edu.tw</v>
      </c>
      <c r="D896" s="9" t="str">
        <f>IFERROR(__xludf.DUMMYFUNCTION("""COMPUTED_VALUE"""),"國立華南高級商業職業學校")</f>
        <v>國立華南高級商業職業學校</v>
      </c>
      <c r="E896" s="9" t="str">
        <f>IFERROR(__xludf.DUMMYFUNCTION("""COMPUTED_VALUE"""),"電子商務科")</f>
        <v>電子商務科</v>
      </c>
      <c r="F896" s="9" t="str">
        <f>IFERROR(__xludf.DUMMYFUNCTION("""COMPUTED_VALUE"""),"二年級")</f>
        <v>二年級</v>
      </c>
      <c r="G896" s="9" t="str">
        <f>IFERROR(__xludf.DUMMYFUNCTION("""COMPUTED_VALUE"""),"■商品卡$200")</f>
        <v>■商品卡$200</v>
      </c>
      <c r="H896" s="9"/>
    </row>
    <row r="897">
      <c r="A897" s="13" t="s">
        <v>11</v>
      </c>
      <c r="B897" s="9" t="str">
        <f>IFERROR(__xludf.DUMMYFUNCTION("""COMPUTED_VALUE"""),"游O媜")</f>
        <v>游O媜</v>
      </c>
      <c r="C897" s="9" t="str">
        <f>IFERROR(__xludf.DUMMYFUNCTION("""COMPUTED_VALUE"""),"wu1*****@mail.edu.tw")</f>
        <v>wu1*****@mail.edu.tw</v>
      </c>
      <c r="D897" s="9" t="str">
        <f>IFERROR(__xludf.DUMMYFUNCTION("""COMPUTED_VALUE"""),"國立華南高級商業職業學校")</f>
        <v>國立華南高級商業職業學校</v>
      </c>
      <c r="E897" s="9" t="str">
        <f>IFERROR(__xludf.DUMMYFUNCTION("""COMPUTED_VALUE"""),"電子商務科")</f>
        <v>電子商務科</v>
      </c>
      <c r="F897" s="9" t="str">
        <f>IFERROR(__xludf.DUMMYFUNCTION("""COMPUTED_VALUE"""),"二年級")</f>
        <v>二年級</v>
      </c>
      <c r="G897" s="9" t="str">
        <f>IFERROR(__xludf.DUMMYFUNCTION("""COMPUTED_VALUE"""),"○商品卡$500")</f>
        <v>○商品卡$500</v>
      </c>
      <c r="H897" s="9"/>
    </row>
    <row r="898">
      <c r="A898" s="13" t="s">
        <v>11</v>
      </c>
      <c r="B898" s="9" t="str">
        <f>IFERROR(__xludf.DUMMYFUNCTION("""COMPUTED_VALUE"""),"賴O翊")</f>
        <v>賴O翊</v>
      </c>
      <c r="C898" s="9" t="str">
        <f>IFERROR(__xludf.DUMMYFUNCTION("""COMPUTED_VALUE"""),"hkp*****54@mail.edu.tw")</f>
        <v>hkp*****54@mail.edu.tw</v>
      </c>
      <c r="D898" s="9" t="str">
        <f>IFERROR(__xludf.DUMMYFUNCTION("""COMPUTED_VALUE"""),"國立華南高級商業職業學校")</f>
        <v>國立華南高級商業職業學校</v>
      </c>
      <c r="E898" s="9" t="str">
        <f>IFERROR(__xludf.DUMMYFUNCTION("""COMPUTED_VALUE"""),"電子商務科")</f>
        <v>電子商務科</v>
      </c>
      <c r="F898" s="9" t="str">
        <f>IFERROR(__xludf.DUMMYFUNCTION("""COMPUTED_VALUE"""),"二年級")</f>
        <v>二年級</v>
      </c>
      <c r="G898" s="9" t="str">
        <f>IFERROR(__xludf.DUMMYFUNCTION("""COMPUTED_VALUE"""),"獎狀")</f>
        <v>獎狀</v>
      </c>
      <c r="H898" s="9"/>
    </row>
    <row r="899">
      <c r="A899" s="13" t="s">
        <v>11</v>
      </c>
      <c r="B899" s="9" t="str">
        <f>IFERROR(__xludf.DUMMYFUNCTION("""COMPUTED_VALUE"""),"蔡O慈")</f>
        <v>蔡O慈</v>
      </c>
      <c r="C899" s="9" t="str">
        <f>IFERROR(__xludf.DUMMYFUNCTION("""COMPUTED_VALUE"""),"cp1*****24@mail.edu.tw")</f>
        <v>cp1*****24@mail.edu.tw</v>
      </c>
      <c r="D899" s="9" t="str">
        <f>IFERROR(__xludf.DUMMYFUNCTION("""COMPUTED_VALUE"""),"國立華南高級商業職業學校")</f>
        <v>國立華南高級商業職業學校</v>
      </c>
      <c r="E899" s="9" t="str">
        <f>IFERROR(__xludf.DUMMYFUNCTION("""COMPUTED_VALUE"""),"電子商務科")</f>
        <v>電子商務科</v>
      </c>
      <c r="F899" s="9" t="str">
        <f>IFERROR(__xludf.DUMMYFUNCTION("""COMPUTED_VALUE"""),"二年級")</f>
        <v>二年級</v>
      </c>
      <c r="G899" s="9" t="str">
        <f>IFERROR(__xludf.DUMMYFUNCTION("""COMPUTED_VALUE"""),"獎狀")</f>
        <v>獎狀</v>
      </c>
      <c r="H899" s="9"/>
    </row>
    <row r="900">
      <c r="A900" s="13" t="s">
        <v>11</v>
      </c>
      <c r="B900" s="9" t="str">
        <f>IFERROR(__xludf.DUMMYFUNCTION("""COMPUTED_VALUE"""),"莊O幃")</f>
        <v>莊O幃</v>
      </c>
      <c r="C900" s="9" t="str">
        <f>IFERROR(__xludf.DUMMYFUNCTION("""COMPUTED_VALUE"""),"gpp*****36@mail.edu.tw")</f>
        <v>gpp*****36@mail.edu.tw</v>
      </c>
      <c r="D900" s="9" t="str">
        <f>IFERROR(__xludf.DUMMYFUNCTION("""COMPUTED_VALUE"""),"國立華南高級商業職業學校")</f>
        <v>國立華南高級商業職業學校</v>
      </c>
      <c r="E900" s="9" t="str">
        <f>IFERROR(__xludf.DUMMYFUNCTION("""COMPUTED_VALUE"""),"電子商務科")</f>
        <v>電子商務科</v>
      </c>
      <c r="F900" s="9" t="str">
        <f>IFERROR(__xludf.DUMMYFUNCTION("""COMPUTED_VALUE"""),"二年級")</f>
        <v>二年級</v>
      </c>
      <c r="G900" s="9" t="str">
        <f>IFERROR(__xludf.DUMMYFUNCTION("""COMPUTED_VALUE"""),"獎狀")</f>
        <v>獎狀</v>
      </c>
      <c r="H900" s="9"/>
    </row>
    <row r="901">
      <c r="A901" s="13" t="s">
        <v>11</v>
      </c>
      <c r="B901" s="9" t="str">
        <f>IFERROR(__xludf.DUMMYFUNCTION("""COMPUTED_VALUE"""),"詹O函")</f>
        <v>詹O函</v>
      </c>
      <c r="C901" s="9" t="str">
        <f>IFERROR(__xludf.DUMMYFUNCTION("""COMPUTED_VALUE"""),"spp*****01@mail.edu.tw")</f>
        <v>spp*****01@mail.edu.tw</v>
      </c>
      <c r="D901" s="9" t="str">
        <f>IFERROR(__xludf.DUMMYFUNCTION("""COMPUTED_VALUE"""),"國立華南高級商業職業學校")</f>
        <v>國立華南高級商業職業學校</v>
      </c>
      <c r="E901" s="9" t="str">
        <f>IFERROR(__xludf.DUMMYFUNCTION("""COMPUTED_VALUE"""),"電子商務科")</f>
        <v>電子商務科</v>
      </c>
      <c r="F901" s="9" t="str">
        <f>IFERROR(__xludf.DUMMYFUNCTION("""COMPUTED_VALUE"""),"二年級")</f>
        <v>二年級</v>
      </c>
      <c r="G901" s="9" t="str">
        <f>IFERROR(__xludf.DUMMYFUNCTION("""COMPUTED_VALUE"""),"獎狀")</f>
        <v>獎狀</v>
      </c>
      <c r="H901" s="9"/>
    </row>
    <row r="902">
      <c r="A902" s="13" t="s">
        <v>11</v>
      </c>
      <c r="B902" s="9" t="str">
        <f>IFERROR(__xludf.DUMMYFUNCTION("""COMPUTED_VALUE"""),"林O慈")</f>
        <v>林O慈</v>
      </c>
      <c r="C902" s="9" t="str">
        <f>IFERROR(__xludf.DUMMYFUNCTION("""COMPUTED_VALUE"""),"jcp*****25@mail.edu.tw")</f>
        <v>jcp*****25@mail.edu.tw</v>
      </c>
      <c r="D902" s="9" t="str">
        <f>IFERROR(__xludf.DUMMYFUNCTION("""COMPUTED_VALUE"""),"國立華南高級商業職業學校")</f>
        <v>國立華南高級商業職業學校</v>
      </c>
      <c r="E902" s="9" t="str">
        <f>IFERROR(__xludf.DUMMYFUNCTION("""COMPUTED_VALUE"""),"電子商務科")</f>
        <v>電子商務科</v>
      </c>
      <c r="F902" s="9" t="str">
        <f>IFERROR(__xludf.DUMMYFUNCTION("""COMPUTED_VALUE"""),"二年級")</f>
        <v>二年級</v>
      </c>
      <c r="G902" s="9" t="str">
        <f>IFERROR(__xludf.DUMMYFUNCTION("""COMPUTED_VALUE"""),"獎狀")</f>
        <v>獎狀</v>
      </c>
      <c r="H902" s="9"/>
    </row>
    <row r="903">
      <c r="A903" s="13" t="s">
        <v>11</v>
      </c>
      <c r="B903" s="9" t="str">
        <f>IFERROR(__xludf.DUMMYFUNCTION("""COMPUTED_VALUE"""),"郭O禎")</f>
        <v>郭O禎</v>
      </c>
      <c r="C903" s="9" t="str">
        <f>IFERROR(__xludf.DUMMYFUNCTION("""COMPUTED_VALUE"""),"kcp*****13@mail.edu.tw")</f>
        <v>kcp*****13@mail.edu.tw</v>
      </c>
      <c r="D903" s="9" t="str">
        <f>IFERROR(__xludf.DUMMYFUNCTION("""COMPUTED_VALUE"""),"國立華南高級商業職業學校")</f>
        <v>國立華南高級商業職業學校</v>
      </c>
      <c r="E903" s="9" t="str">
        <f>IFERROR(__xludf.DUMMYFUNCTION("""COMPUTED_VALUE"""),"電子商務科")</f>
        <v>電子商務科</v>
      </c>
      <c r="F903" s="9" t="str">
        <f>IFERROR(__xludf.DUMMYFUNCTION("""COMPUTED_VALUE"""),"二年級")</f>
        <v>二年級</v>
      </c>
      <c r="G903" s="9" t="str">
        <f>IFERROR(__xludf.DUMMYFUNCTION("""COMPUTED_VALUE"""),"○商品卡$500")</f>
        <v>○商品卡$500</v>
      </c>
      <c r="H903" s="9"/>
    </row>
    <row r="904">
      <c r="A904" s="13" t="s">
        <v>11</v>
      </c>
      <c r="B904" s="9" t="str">
        <f>IFERROR(__xludf.DUMMYFUNCTION("""COMPUTED_VALUE"""),"李O陽")</f>
        <v>李O陽</v>
      </c>
      <c r="C904" s="9" t="str">
        <f>IFERROR(__xludf.DUMMYFUNCTION("""COMPUTED_VALUE"""),"leo*****5@mail.edu.tw")</f>
        <v>leo*****5@mail.edu.tw</v>
      </c>
      <c r="D904" s="9" t="str">
        <f>IFERROR(__xludf.DUMMYFUNCTION("""COMPUTED_VALUE"""),"國立華南高級商業職業學校")</f>
        <v>國立華南高級商業職業學校</v>
      </c>
      <c r="E904" s="9" t="str">
        <f>IFERROR(__xludf.DUMMYFUNCTION("""COMPUTED_VALUE"""),"電子商務科")</f>
        <v>電子商務科</v>
      </c>
      <c r="F904" s="9" t="str">
        <f>IFERROR(__xludf.DUMMYFUNCTION("""COMPUTED_VALUE"""),"二年級")</f>
        <v>二年級</v>
      </c>
      <c r="G904" s="9" t="str">
        <f>IFERROR(__xludf.DUMMYFUNCTION("""COMPUTED_VALUE"""),"獎狀")</f>
        <v>獎狀</v>
      </c>
      <c r="H904" s="9"/>
    </row>
    <row r="905">
      <c r="A905" s="13" t="s">
        <v>11</v>
      </c>
      <c r="B905" s="9" t="str">
        <f>IFERROR(__xludf.DUMMYFUNCTION("""COMPUTED_VALUE"""),"黃O霖")</f>
        <v>黃O霖</v>
      </c>
      <c r="C905" s="9" t="str">
        <f>IFERROR(__xludf.DUMMYFUNCTION("""COMPUTED_VALUE"""),"i96*****mail.edu.tw")</f>
        <v>i96*****mail.edu.tw</v>
      </c>
      <c r="D905" s="9" t="str">
        <f>IFERROR(__xludf.DUMMYFUNCTION("""COMPUTED_VALUE"""),"國立華南高級商業職業學校")</f>
        <v>國立華南高級商業職業學校</v>
      </c>
      <c r="E905" s="9" t="str">
        <f>IFERROR(__xludf.DUMMYFUNCTION("""COMPUTED_VALUE"""),"電子商務科")</f>
        <v>電子商務科</v>
      </c>
      <c r="F905" s="9" t="str">
        <f>IFERROR(__xludf.DUMMYFUNCTION("""COMPUTED_VALUE"""),"二年級")</f>
        <v>二年級</v>
      </c>
      <c r="G905" s="9" t="str">
        <f>IFERROR(__xludf.DUMMYFUNCTION("""COMPUTED_VALUE"""),"■商品卡$200")</f>
        <v>■商品卡$200</v>
      </c>
      <c r="H905" s="9"/>
    </row>
    <row r="906">
      <c r="A906" s="13" t="s">
        <v>11</v>
      </c>
      <c r="B906" s="9" t="str">
        <f>IFERROR(__xludf.DUMMYFUNCTION("""COMPUTED_VALUE"""),"楊O洋")</f>
        <v>楊O洋</v>
      </c>
      <c r="C906" s="9" t="str">
        <f>IFERROR(__xludf.DUMMYFUNCTION("""COMPUTED_VALUE"""),"mik*****@mail.edu.tw")</f>
        <v>mik*****@mail.edu.tw</v>
      </c>
      <c r="D906" s="9" t="str">
        <f>IFERROR(__xludf.DUMMYFUNCTION("""COMPUTED_VALUE"""),"國立華南高級商業職業學校")</f>
        <v>國立華南高級商業職業學校</v>
      </c>
      <c r="E906" s="9" t="str">
        <f>IFERROR(__xludf.DUMMYFUNCTION("""COMPUTED_VALUE"""),"電子商務科")</f>
        <v>電子商務科</v>
      </c>
      <c r="F906" s="9" t="str">
        <f>IFERROR(__xludf.DUMMYFUNCTION("""COMPUTED_VALUE"""),"二年級")</f>
        <v>二年級</v>
      </c>
      <c r="G906" s="9" t="str">
        <f>IFERROR(__xludf.DUMMYFUNCTION("""COMPUTED_VALUE"""),"獎狀")</f>
        <v>獎狀</v>
      </c>
      <c r="H906" s="9"/>
    </row>
    <row r="907">
      <c r="A907" s="13" t="s">
        <v>11</v>
      </c>
      <c r="B907" s="9" t="str">
        <f>IFERROR(__xludf.DUMMYFUNCTION("""COMPUTED_VALUE"""),"蔡O凡")</f>
        <v>蔡O凡</v>
      </c>
      <c r="C907" s="9" t="str">
        <f>IFERROR(__xludf.DUMMYFUNCTION("""COMPUTED_VALUE"""),"fra*****@mail.edu.tw")</f>
        <v>fra*****@mail.edu.tw</v>
      </c>
      <c r="D907" s="9" t="str">
        <f>IFERROR(__xludf.DUMMYFUNCTION("""COMPUTED_VALUE"""),"國立華南高級商業職業學校")</f>
        <v>國立華南高級商業職業學校</v>
      </c>
      <c r="E907" s="9" t="str">
        <f>IFERROR(__xludf.DUMMYFUNCTION("""COMPUTED_VALUE"""),"電子商務科")</f>
        <v>電子商務科</v>
      </c>
      <c r="F907" s="9" t="str">
        <f>IFERROR(__xludf.DUMMYFUNCTION("""COMPUTED_VALUE"""),"二年級")</f>
        <v>二年級</v>
      </c>
      <c r="G907" s="9" t="str">
        <f>IFERROR(__xludf.DUMMYFUNCTION("""COMPUTED_VALUE"""),"獎狀")</f>
        <v>獎狀</v>
      </c>
      <c r="H907" s="9"/>
    </row>
    <row r="908">
      <c r="A908" s="13" t="s">
        <v>11</v>
      </c>
      <c r="B908" s="9" t="str">
        <f>IFERROR(__xludf.DUMMYFUNCTION("""COMPUTED_VALUE"""),"蔡O揚")</f>
        <v>蔡O揚</v>
      </c>
      <c r="C908" s="9" t="str">
        <f>IFERROR(__xludf.DUMMYFUNCTION("""COMPUTED_VALUE"""),"joh*****66@mail.edu.tw")</f>
        <v>joh*****66@mail.edu.tw</v>
      </c>
      <c r="D908" s="9" t="str">
        <f>IFERROR(__xludf.DUMMYFUNCTION("""COMPUTED_VALUE"""),"國立華南高級商業職業學校")</f>
        <v>國立華南高級商業職業學校</v>
      </c>
      <c r="E908" s="9" t="str">
        <f>IFERROR(__xludf.DUMMYFUNCTION("""COMPUTED_VALUE"""),"電子商務科")</f>
        <v>電子商務科</v>
      </c>
      <c r="F908" s="9" t="str">
        <f>IFERROR(__xludf.DUMMYFUNCTION("""COMPUTED_VALUE"""),"二年級")</f>
        <v>二年級</v>
      </c>
      <c r="G908" s="9" t="str">
        <f>IFERROR(__xludf.DUMMYFUNCTION("""COMPUTED_VALUE"""),"獎狀")</f>
        <v>獎狀</v>
      </c>
      <c r="H908" s="9"/>
    </row>
    <row r="909">
      <c r="A909" s="13" t="s">
        <v>11</v>
      </c>
      <c r="B909" s="9" t="str">
        <f>IFERROR(__xludf.DUMMYFUNCTION("""COMPUTED_VALUE"""),"劉O葦")</f>
        <v>劉O葦</v>
      </c>
      <c r="C909" s="9" t="str">
        <f>IFERROR(__xludf.DUMMYFUNCTION("""COMPUTED_VALUE"""),"ang*****223@mail.edu.tw")</f>
        <v>ang*****223@mail.edu.tw</v>
      </c>
      <c r="D909" s="9" t="str">
        <f>IFERROR(__xludf.DUMMYFUNCTION("""COMPUTED_VALUE"""),"國立華南高級商業職業學校")</f>
        <v>國立華南高級商業職業學校</v>
      </c>
      <c r="E909" s="9" t="str">
        <f>IFERROR(__xludf.DUMMYFUNCTION("""COMPUTED_VALUE"""),"電子商務科")</f>
        <v>電子商務科</v>
      </c>
      <c r="F909" s="9" t="str">
        <f>IFERROR(__xludf.DUMMYFUNCTION("""COMPUTED_VALUE"""),"二年級")</f>
        <v>二年級</v>
      </c>
      <c r="G909" s="9" t="str">
        <f>IFERROR(__xludf.DUMMYFUNCTION("""COMPUTED_VALUE"""),"獎狀")</f>
        <v>獎狀</v>
      </c>
      <c r="H909" s="9"/>
    </row>
    <row r="910">
      <c r="A910" s="13" t="s">
        <v>11</v>
      </c>
      <c r="B910" s="9" t="str">
        <f>IFERROR(__xludf.DUMMYFUNCTION("""COMPUTED_VALUE"""),"楊O芯")</f>
        <v>楊O芯</v>
      </c>
      <c r="C910" s="9" t="str">
        <f>IFERROR(__xludf.DUMMYFUNCTION("""COMPUTED_VALUE"""),"flp*****16@mail.edu.tw")</f>
        <v>flp*****16@mail.edu.tw</v>
      </c>
      <c r="D910" s="9" t="str">
        <f>IFERROR(__xludf.DUMMYFUNCTION("""COMPUTED_VALUE"""),"國立華南高級商業職業學校")</f>
        <v>國立華南高級商業職業學校</v>
      </c>
      <c r="E910" s="9" t="str">
        <f>IFERROR(__xludf.DUMMYFUNCTION("""COMPUTED_VALUE"""),"電子商務科")</f>
        <v>電子商務科</v>
      </c>
      <c r="F910" s="9" t="str">
        <f>IFERROR(__xludf.DUMMYFUNCTION("""COMPUTED_VALUE"""),"二年級")</f>
        <v>二年級</v>
      </c>
      <c r="G910" s="9" t="str">
        <f>IFERROR(__xludf.DUMMYFUNCTION("""COMPUTED_VALUE"""),"○商品卡$500")</f>
        <v>○商品卡$500</v>
      </c>
      <c r="H910" s="9"/>
    </row>
    <row r="911">
      <c r="A911" s="13" t="s">
        <v>11</v>
      </c>
      <c r="B911" s="9" t="str">
        <f>IFERROR(__xludf.DUMMYFUNCTION("""COMPUTED_VALUE"""),"林O欣")</f>
        <v>林O欣</v>
      </c>
      <c r="C911" s="9" t="str">
        <f>IFERROR(__xludf.DUMMYFUNCTION("""COMPUTED_VALUE"""),"noa*****08@mail.edu.tw")</f>
        <v>noa*****08@mail.edu.tw</v>
      </c>
      <c r="D911" s="9" t="str">
        <f>IFERROR(__xludf.DUMMYFUNCTION("""COMPUTED_VALUE"""),"國立華南高級商業職業學校")</f>
        <v>國立華南高級商業職業學校</v>
      </c>
      <c r="E911" s="9" t="str">
        <f>IFERROR(__xludf.DUMMYFUNCTION("""COMPUTED_VALUE"""),"電子商務科")</f>
        <v>電子商務科</v>
      </c>
      <c r="F911" s="9" t="str">
        <f>IFERROR(__xludf.DUMMYFUNCTION("""COMPUTED_VALUE"""),"二年級")</f>
        <v>二年級</v>
      </c>
      <c r="G911" s="9" t="str">
        <f>IFERROR(__xludf.DUMMYFUNCTION("""COMPUTED_VALUE"""),"獎狀")</f>
        <v>獎狀</v>
      </c>
      <c r="H911" s="9"/>
    </row>
    <row r="912">
      <c r="A912" s="13" t="s">
        <v>11</v>
      </c>
      <c r="B912" s="9" t="str">
        <f>IFERROR(__xludf.DUMMYFUNCTION("""COMPUTED_VALUE"""),"李O芸")</f>
        <v>李O芸</v>
      </c>
      <c r="C912" s="9" t="str">
        <f>IFERROR(__xludf.DUMMYFUNCTION("""COMPUTED_VALUE"""),"a05*****ail.edu.tw")</f>
        <v>a05*****ail.edu.tw</v>
      </c>
      <c r="D912" s="9" t="str">
        <f>IFERROR(__xludf.DUMMYFUNCTION("""COMPUTED_VALUE"""),"國立華南高級商業職業學校")</f>
        <v>國立華南高級商業職業學校</v>
      </c>
      <c r="E912" s="9" t="str">
        <f>IFERROR(__xludf.DUMMYFUNCTION("""COMPUTED_VALUE"""),"電子商務科")</f>
        <v>電子商務科</v>
      </c>
      <c r="F912" s="9" t="str">
        <f>IFERROR(__xludf.DUMMYFUNCTION("""COMPUTED_VALUE"""),"二年級")</f>
        <v>二年級</v>
      </c>
      <c r="G912" s="9" t="str">
        <f>IFERROR(__xludf.DUMMYFUNCTION("""COMPUTED_VALUE"""),"獎狀")</f>
        <v>獎狀</v>
      </c>
      <c r="H912" s="9"/>
    </row>
    <row r="913">
      <c r="A913" s="13" t="s">
        <v>11</v>
      </c>
      <c r="B913" s="9" t="str">
        <f>IFERROR(__xludf.DUMMYFUNCTION("""COMPUTED_VALUE"""),"許O容")</f>
        <v>許O容</v>
      </c>
      <c r="C913" s="9" t="str">
        <f>IFERROR(__xludf.DUMMYFUNCTION("""COMPUTED_VALUE"""),"r21*****mail.edu.tw")</f>
        <v>r21*****mail.edu.tw</v>
      </c>
      <c r="D913" s="9" t="str">
        <f>IFERROR(__xludf.DUMMYFUNCTION("""COMPUTED_VALUE"""),"國立華南高級商業職業學校")</f>
        <v>國立華南高級商業職業學校</v>
      </c>
      <c r="E913" s="9" t="str">
        <f>IFERROR(__xludf.DUMMYFUNCTION("""COMPUTED_VALUE"""),"電子商務科")</f>
        <v>電子商務科</v>
      </c>
      <c r="F913" s="9" t="str">
        <f>IFERROR(__xludf.DUMMYFUNCTION("""COMPUTED_VALUE"""),"二年級")</f>
        <v>二年級</v>
      </c>
      <c r="G913" s="9" t="str">
        <f>IFERROR(__xludf.DUMMYFUNCTION("""COMPUTED_VALUE"""),"獎狀")</f>
        <v>獎狀</v>
      </c>
      <c r="H913" s="9"/>
    </row>
    <row r="914">
      <c r="A914" s="13" t="s">
        <v>11</v>
      </c>
      <c r="B914" s="9" t="str">
        <f>IFERROR(__xludf.DUMMYFUNCTION("""COMPUTED_VALUE"""),"江O羽")</f>
        <v>江O羽</v>
      </c>
      <c r="C914" s="9" t="str">
        <f>IFERROR(__xludf.DUMMYFUNCTION("""COMPUTED_VALUE"""),"tle*****12@mail.edu.tw")</f>
        <v>tle*****12@mail.edu.tw</v>
      </c>
      <c r="D914" s="9" t="str">
        <f>IFERROR(__xludf.DUMMYFUNCTION("""COMPUTED_VALUE"""),"國立華南高級商業職業學校")</f>
        <v>國立華南高級商業職業學校</v>
      </c>
      <c r="E914" s="9" t="str">
        <f>IFERROR(__xludf.DUMMYFUNCTION("""COMPUTED_VALUE"""),"電子商務科")</f>
        <v>電子商務科</v>
      </c>
      <c r="F914" s="9" t="str">
        <f>IFERROR(__xludf.DUMMYFUNCTION("""COMPUTED_VALUE"""),"二年級")</f>
        <v>二年級</v>
      </c>
      <c r="G914" s="9" t="str">
        <f>IFERROR(__xludf.DUMMYFUNCTION("""COMPUTED_VALUE"""),"■商品卡$200")</f>
        <v>■商品卡$200</v>
      </c>
      <c r="H914" s="9"/>
    </row>
    <row r="915">
      <c r="A915" s="13" t="s">
        <v>11</v>
      </c>
      <c r="B915" s="9" t="str">
        <f>IFERROR(__xludf.DUMMYFUNCTION("""COMPUTED_VALUE"""),"黃O潔")</f>
        <v>黃O潔</v>
      </c>
      <c r="C915" s="9" t="str">
        <f>IFERROR(__xludf.DUMMYFUNCTION("""COMPUTED_VALUE"""),"cyc*****21.dora@mail.edu.tw")</f>
        <v>cyc*****21.dora@mail.edu.tw</v>
      </c>
      <c r="D915" s="9" t="str">
        <f>IFERROR(__xludf.DUMMYFUNCTION("""COMPUTED_VALUE"""),"國立華南高級商業職業學校")</f>
        <v>國立華南高級商業職業學校</v>
      </c>
      <c r="E915" s="9" t="str">
        <f>IFERROR(__xludf.DUMMYFUNCTION("""COMPUTED_VALUE"""),"電子商務科")</f>
        <v>電子商務科</v>
      </c>
      <c r="F915" s="9" t="str">
        <f>IFERROR(__xludf.DUMMYFUNCTION("""COMPUTED_VALUE"""),"二年級")</f>
        <v>二年級</v>
      </c>
      <c r="G915" s="9" t="str">
        <f>IFERROR(__xludf.DUMMYFUNCTION("""COMPUTED_VALUE"""),"獎狀")</f>
        <v>獎狀</v>
      </c>
      <c r="H915" s="9"/>
    </row>
    <row r="916">
      <c r="A916" s="13" t="s">
        <v>11</v>
      </c>
      <c r="B916" s="9" t="str">
        <f>IFERROR(__xludf.DUMMYFUNCTION("""COMPUTED_VALUE"""),"蔡O祐")</f>
        <v>蔡O祐</v>
      </c>
      <c r="C916" s="9" t="str">
        <f>IFERROR(__xludf.DUMMYFUNCTION("""COMPUTED_VALUE"""),"s10*****3@mail.edu.tw")</f>
        <v>s10*****3@mail.edu.tw</v>
      </c>
      <c r="D916" s="9" t="str">
        <f>IFERROR(__xludf.DUMMYFUNCTION("""COMPUTED_VALUE"""),"國立華南高級商業職業學校")</f>
        <v>國立華南高級商業職業學校</v>
      </c>
      <c r="E916" s="9" t="str">
        <f>IFERROR(__xludf.DUMMYFUNCTION("""COMPUTED_VALUE"""),"電子商務科")</f>
        <v>電子商務科</v>
      </c>
      <c r="F916" s="9" t="str">
        <f>IFERROR(__xludf.DUMMYFUNCTION("""COMPUTED_VALUE"""),"二年級")</f>
        <v>二年級</v>
      </c>
      <c r="G916" s="9" t="str">
        <f>IFERROR(__xludf.DUMMYFUNCTION("""COMPUTED_VALUE"""),"獎狀")</f>
        <v>獎狀</v>
      </c>
      <c r="H916" s="9"/>
    </row>
    <row r="917">
      <c r="A917" s="13" t="s">
        <v>11</v>
      </c>
      <c r="B917" s="9" t="str">
        <f>IFERROR(__xludf.DUMMYFUNCTION("""COMPUTED_VALUE"""),"戴O妤")</f>
        <v>戴O妤</v>
      </c>
      <c r="C917" s="9" t="str">
        <f>IFERROR(__xludf.DUMMYFUNCTION("""COMPUTED_VALUE"""),"tbn*****0@mail.edu.tw")</f>
        <v>tbn*****0@mail.edu.tw</v>
      </c>
      <c r="D917" s="9" t="str">
        <f>IFERROR(__xludf.DUMMYFUNCTION("""COMPUTED_VALUE"""),"國立華南高級商業職業學校")</f>
        <v>國立華南高級商業職業學校</v>
      </c>
      <c r="E917" s="9" t="str">
        <f>IFERROR(__xludf.DUMMYFUNCTION("""COMPUTED_VALUE"""),"電商科")</f>
        <v>電商科</v>
      </c>
      <c r="F917" s="9" t="str">
        <f>IFERROR(__xludf.DUMMYFUNCTION("""COMPUTED_VALUE"""),"二年級")</f>
        <v>二年級</v>
      </c>
      <c r="G917" s="9" t="str">
        <f>IFERROR(__xludf.DUMMYFUNCTION("""COMPUTED_VALUE"""),"○商品卡$500")</f>
        <v>○商品卡$500</v>
      </c>
      <c r="H917" s="9"/>
    </row>
    <row r="918">
      <c r="A918" s="13" t="s">
        <v>11</v>
      </c>
      <c r="B918" s="9" t="str">
        <f>IFERROR(__xludf.DUMMYFUNCTION("""COMPUTED_VALUE"""),"陳O致")</f>
        <v>陳O致</v>
      </c>
      <c r="C918" s="9" t="str">
        <f>IFERROR(__xludf.DUMMYFUNCTION("""COMPUTED_VALUE"""),"tre*****05@mail.edu.tw")</f>
        <v>tre*****05@mail.edu.tw</v>
      </c>
      <c r="D918" s="9" t="str">
        <f>IFERROR(__xludf.DUMMYFUNCTION("""COMPUTED_VALUE"""),"國立華南高級商業職業學校")</f>
        <v>國立華南高級商業職業學校</v>
      </c>
      <c r="E918" s="9" t="str">
        <f>IFERROR(__xludf.DUMMYFUNCTION("""COMPUTED_VALUE"""),"電商科")</f>
        <v>電商科</v>
      </c>
      <c r="F918" s="9" t="str">
        <f>IFERROR(__xludf.DUMMYFUNCTION("""COMPUTED_VALUE"""),"二年級")</f>
        <v>二年級</v>
      </c>
      <c r="G918" s="9" t="str">
        <f>IFERROR(__xludf.DUMMYFUNCTION("""COMPUTED_VALUE"""),"■商品卡$200")</f>
        <v>■商品卡$200</v>
      </c>
      <c r="H918" s="9"/>
    </row>
    <row r="919">
      <c r="A919" s="13" t="s">
        <v>11</v>
      </c>
      <c r="B919" s="9" t="str">
        <f>IFERROR(__xludf.DUMMYFUNCTION("""COMPUTED_VALUE"""),"李O妤")</f>
        <v>李O妤</v>
      </c>
      <c r="C919" s="9" t="str">
        <f>IFERROR(__xludf.DUMMYFUNCTION("""COMPUTED_VALUE"""),"she*****424.cy@mail.edu.tw")</f>
        <v>she*****424.cy@mail.edu.tw</v>
      </c>
      <c r="D919" s="9" t="str">
        <f>IFERROR(__xludf.DUMMYFUNCTION("""COMPUTED_VALUE"""),"國立華南高級商業職業學校")</f>
        <v>國立華南高級商業職業學校</v>
      </c>
      <c r="E919" s="9" t="str">
        <f>IFERROR(__xludf.DUMMYFUNCTION("""COMPUTED_VALUE"""),"電商科")</f>
        <v>電商科</v>
      </c>
      <c r="F919" s="9" t="str">
        <f>IFERROR(__xludf.DUMMYFUNCTION("""COMPUTED_VALUE"""),"二年級")</f>
        <v>二年級</v>
      </c>
      <c r="G919" s="9" t="str">
        <f>IFERROR(__xludf.DUMMYFUNCTION("""COMPUTED_VALUE"""),"獎狀")</f>
        <v>獎狀</v>
      </c>
      <c r="H919" s="9"/>
    </row>
    <row r="920">
      <c r="A920" s="13" t="s">
        <v>11</v>
      </c>
      <c r="B920" s="9" t="str">
        <f>IFERROR(__xludf.DUMMYFUNCTION("""COMPUTED_VALUE"""),"王O程")</f>
        <v>王O程</v>
      </c>
      <c r="C920" s="9" t="str">
        <f>IFERROR(__xludf.DUMMYFUNCTION("""COMPUTED_VALUE"""),"she*****604.cy@mail.edu.tw")</f>
        <v>she*****604.cy@mail.edu.tw</v>
      </c>
      <c r="D920" s="9" t="str">
        <f>IFERROR(__xludf.DUMMYFUNCTION("""COMPUTED_VALUE"""),"國立華南高級商業職業學校")</f>
        <v>國立華南高級商業職業學校</v>
      </c>
      <c r="E920" s="9" t="str">
        <f>IFERROR(__xludf.DUMMYFUNCTION("""COMPUTED_VALUE"""),"電商科")</f>
        <v>電商科</v>
      </c>
      <c r="F920" s="9" t="str">
        <f>IFERROR(__xludf.DUMMYFUNCTION("""COMPUTED_VALUE"""),"二年級")</f>
        <v>二年級</v>
      </c>
      <c r="G920" s="9" t="str">
        <f>IFERROR(__xludf.DUMMYFUNCTION("""COMPUTED_VALUE"""),"獎狀")</f>
        <v>獎狀</v>
      </c>
      <c r="H920" s="9"/>
    </row>
    <row r="921">
      <c r="A921" s="13" t="s">
        <v>11</v>
      </c>
      <c r="B921" s="9" t="str">
        <f>IFERROR(__xludf.DUMMYFUNCTION("""COMPUTED_VALUE"""),"林O緯")</f>
        <v>林O緯</v>
      </c>
      <c r="C921" s="9" t="str">
        <f>IFERROR(__xludf.DUMMYFUNCTION("""COMPUTED_VALUE"""),"cp1*****10@mail.edu.tw")</f>
        <v>cp1*****10@mail.edu.tw</v>
      </c>
      <c r="D921" s="9" t="str">
        <f>IFERROR(__xludf.DUMMYFUNCTION("""COMPUTED_VALUE"""),"國立華南高級商業職業學校")</f>
        <v>國立華南高級商業職業學校</v>
      </c>
      <c r="E921" s="9" t="str">
        <f>IFERROR(__xludf.DUMMYFUNCTION("""COMPUTED_VALUE"""),"電商科")</f>
        <v>電商科</v>
      </c>
      <c r="F921" s="9" t="str">
        <f>IFERROR(__xludf.DUMMYFUNCTION("""COMPUTED_VALUE"""),"二年級")</f>
        <v>二年級</v>
      </c>
      <c r="G921" s="9" t="str">
        <f>IFERROR(__xludf.DUMMYFUNCTION("""COMPUTED_VALUE"""),"獎狀")</f>
        <v>獎狀</v>
      </c>
      <c r="H921" s="9"/>
    </row>
    <row r="922">
      <c r="A922" s="13" t="s">
        <v>11</v>
      </c>
      <c r="B922" s="9" t="str">
        <f>IFERROR(__xludf.DUMMYFUNCTION("""COMPUTED_VALUE"""),"林O輪")</f>
        <v>林O輪</v>
      </c>
      <c r="C922" s="9" t="str">
        <f>IFERROR(__xludf.DUMMYFUNCTION("""COMPUTED_VALUE"""),"pau*****@mail.edu.tw")</f>
        <v>pau*****@mail.edu.tw</v>
      </c>
      <c r="D922" s="9" t="str">
        <f>IFERROR(__xludf.DUMMYFUNCTION("""COMPUTED_VALUE"""),"國立華南高級商業職業學校")</f>
        <v>國立華南高級商業職業學校</v>
      </c>
      <c r="E922" s="9" t="str">
        <f>IFERROR(__xludf.DUMMYFUNCTION("""COMPUTED_VALUE"""),"電商科")</f>
        <v>電商科</v>
      </c>
      <c r="F922" s="9" t="str">
        <f>IFERROR(__xludf.DUMMYFUNCTION("""COMPUTED_VALUE"""),"二年級")</f>
        <v>二年級</v>
      </c>
      <c r="G922" s="9" t="str">
        <f>IFERROR(__xludf.DUMMYFUNCTION("""COMPUTED_VALUE"""),"獎狀")</f>
        <v>獎狀</v>
      </c>
      <c r="H922" s="9"/>
    </row>
    <row r="923">
      <c r="A923" s="13" t="s">
        <v>11</v>
      </c>
      <c r="B923" s="9" t="str">
        <f>IFERROR(__xludf.DUMMYFUNCTION("""COMPUTED_VALUE"""),"吳O擇")</f>
        <v>吳O擇</v>
      </c>
      <c r="C923" s="9" t="str">
        <f>IFERROR(__xludf.DUMMYFUNCTION("""COMPUTED_VALUE"""),"rog*****@mail.edu.tw")</f>
        <v>rog*****@mail.edu.tw</v>
      </c>
      <c r="D923" s="9" t="str">
        <f>IFERROR(__xludf.DUMMYFUNCTION("""COMPUTED_VALUE"""),"國立華南高級商業職業學校")</f>
        <v>國立華南高級商業職業學校</v>
      </c>
      <c r="E923" s="9" t="str">
        <f>IFERROR(__xludf.DUMMYFUNCTION("""COMPUTED_VALUE"""),"電商科")</f>
        <v>電商科</v>
      </c>
      <c r="F923" s="9" t="str">
        <f>IFERROR(__xludf.DUMMYFUNCTION("""COMPUTED_VALUE"""),"二年級")</f>
        <v>二年級</v>
      </c>
      <c r="G923" s="9" t="str">
        <f>IFERROR(__xludf.DUMMYFUNCTION("""COMPUTED_VALUE"""),"獎狀")</f>
        <v>獎狀</v>
      </c>
      <c r="H923" s="9"/>
    </row>
    <row r="924">
      <c r="A924" s="13" t="s">
        <v>11</v>
      </c>
      <c r="B924" s="9" t="str">
        <f>IFERROR(__xludf.DUMMYFUNCTION("""COMPUTED_VALUE"""),"廖O鈞")</f>
        <v>廖O鈞</v>
      </c>
      <c r="C924" s="9" t="str">
        <f>IFERROR(__xludf.DUMMYFUNCTION("""COMPUTED_VALUE"""),"she*****213.cy@mail.edu.tw")</f>
        <v>she*****213.cy@mail.edu.tw</v>
      </c>
      <c r="D924" s="9" t="str">
        <f>IFERROR(__xludf.DUMMYFUNCTION("""COMPUTED_VALUE"""),"國立華南高級商業職業學校")</f>
        <v>國立華南高級商業職業學校</v>
      </c>
      <c r="E924" s="9" t="str">
        <f>IFERROR(__xludf.DUMMYFUNCTION("""COMPUTED_VALUE"""),"電商科")</f>
        <v>電商科</v>
      </c>
      <c r="F924" s="9" t="str">
        <f>IFERROR(__xludf.DUMMYFUNCTION("""COMPUTED_VALUE"""),"二年級")</f>
        <v>二年級</v>
      </c>
      <c r="G924" s="9" t="str">
        <f>IFERROR(__xludf.DUMMYFUNCTION("""COMPUTED_VALUE"""),"獎狀")</f>
        <v>獎狀</v>
      </c>
      <c r="H924" s="9"/>
    </row>
    <row r="925">
      <c r="A925" s="13" t="s">
        <v>11</v>
      </c>
      <c r="B925" s="9" t="str">
        <f>IFERROR(__xludf.DUMMYFUNCTION("""COMPUTED_VALUE"""),"蘇O妏")</f>
        <v>蘇O妏</v>
      </c>
      <c r="C925" s="9" t="str">
        <f>IFERROR(__xludf.DUMMYFUNCTION("""COMPUTED_VALUE"""),"hfg*****78@gmail.com")</f>
        <v>hfg*****78@gmail.com</v>
      </c>
      <c r="D925" s="9" t="str">
        <f>IFERROR(__xludf.DUMMYFUNCTION("""COMPUTED_VALUE"""),"國立嘉義高級工業職業學校")</f>
        <v>國立嘉義高級工業職業學校</v>
      </c>
      <c r="E925" s="9" t="str">
        <f>IFERROR(__xludf.DUMMYFUNCTION("""COMPUTED_VALUE"""),"化工科")</f>
        <v>化工科</v>
      </c>
      <c r="F925" s="9" t="str">
        <f>IFERROR(__xludf.DUMMYFUNCTION("""COMPUTED_VALUE"""),"一年級")</f>
        <v>一年級</v>
      </c>
      <c r="G925" s="9" t="str">
        <f>IFERROR(__xludf.DUMMYFUNCTION("""COMPUTED_VALUE"""),"獎狀")</f>
        <v>獎狀</v>
      </c>
      <c r="H925" s="11"/>
    </row>
    <row r="926">
      <c r="A926" s="13" t="s">
        <v>11</v>
      </c>
      <c r="B926" s="9" t="str">
        <f>IFERROR(__xludf.DUMMYFUNCTION("""COMPUTED_VALUE"""),"施O叡")</f>
        <v>施O叡</v>
      </c>
      <c r="C926" s="9" t="str">
        <f>IFERROR(__xludf.DUMMYFUNCTION("""COMPUTED_VALUE"""),"313*****tu.cyivs.cy.edu.tw")</f>
        <v>313*****tu.cyivs.cy.edu.tw</v>
      </c>
      <c r="D926" s="9" t="str">
        <f>IFERROR(__xludf.DUMMYFUNCTION("""COMPUTED_VALUE"""),"國立嘉義高級工業職業學校")</f>
        <v>國立嘉義高級工業職業學校</v>
      </c>
      <c r="E926" s="9" t="str">
        <f>IFERROR(__xludf.DUMMYFUNCTION("""COMPUTED_VALUE"""),"電子科")</f>
        <v>電子科</v>
      </c>
      <c r="F926" s="9" t="str">
        <f>IFERROR(__xludf.DUMMYFUNCTION("""COMPUTED_VALUE"""),"二年級")</f>
        <v>二年級</v>
      </c>
      <c r="G926" s="9" t="str">
        <f>IFERROR(__xludf.DUMMYFUNCTION("""COMPUTED_VALUE"""),"獎狀")</f>
        <v>獎狀</v>
      </c>
      <c r="H926" s="9"/>
    </row>
    <row r="927">
      <c r="A927" s="13" t="s">
        <v>11</v>
      </c>
      <c r="B927" s="9" t="str">
        <f>IFERROR(__xludf.DUMMYFUNCTION("""COMPUTED_VALUE"""),"何O璇")</f>
        <v>何O璇</v>
      </c>
      <c r="C927" s="9" t="str">
        <f>IFERROR(__xludf.DUMMYFUNCTION("""COMPUTED_VALUE"""),"313*****tu.cyivs.cy.edu.tw")</f>
        <v>313*****tu.cyivs.cy.edu.tw</v>
      </c>
      <c r="D927" s="9" t="str">
        <f>IFERROR(__xludf.DUMMYFUNCTION("""COMPUTED_VALUE"""),"國立嘉義高級工業職業學校")</f>
        <v>國立嘉義高級工業職業學校</v>
      </c>
      <c r="E927" s="9" t="str">
        <f>IFERROR(__xludf.DUMMYFUNCTION("""COMPUTED_VALUE"""),"電子科")</f>
        <v>電子科</v>
      </c>
      <c r="F927" s="9" t="str">
        <f>IFERROR(__xludf.DUMMYFUNCTION("""COMPUTED_VALUE"""),"二年級")</f>
        <v>二年級</v>
      </c>
      <c r="G927" s="9" t="str">
        <f>IFERROR(__xludf.DUMMYFUNCTION("""COMPUTED_VALUE"""),"★商品卡$1000")</f>
        <v>★商品卡$1000</v>
      </c>
      <c r="H927" s="9"/>
    </row>
    <row r="928">
      <c r="A928" s="13" t="s">
        <v>11</v>
      </c>
      <c r="B928" s="9" t="str">
        <f>IFERROR(__xludf.DUMMYFUNCTION("""COMPUTED_VALUE"""),"劉O安")</f>
        <v>劉O安</v>
      </c>
      <c r="C928" s="9" t="str">
        <f>IFERROR(__xludf.DUMMYFUNCTION("""COMPUTED_VALUE"""),"314*****tu.cyivs.cy.edu.tw")</f>
        <v>314*****tu.cyivs.cy.edu.tw</v>
      </c>
      <c r="D928" s="9" t="str">
        <f>IFERROR(__xludf.DUMMYFUNCTION("""COMPUTED_VALUE"""),"國立嘉義高級工業職業學校")</f>
        <v>國立嘉義高級工業職業學校</v>
      </c>
      <c r="E928" s="9" t="str">
        <f>IFERROR(__xludf.DUMMYFUNCTION("""COMPUTED_VALUE"""),"電機科")</f>
        <v>電機科</v>
      </c>
      <c r="F928" s="9" t="str">
        <f>IFERROR(__xludf.DUMMYFUNCTION("""COMPUTED_VALUE"""),"二年級")</f>
        <v>二年級</v>
      </c>
      <c r="G928" s="9" t="str">
        <f>IFERROR(__xludf.DUMMYFUNCTION("""COMPUTED_VALUE"""),"獎狀")</f>
        <v>獎狀</v>
      </c>
      <c r="H928" s="9"/>
    </row>
    <row r="929">
      <c r="A929" s="13" t="s">
        <v>11</v>
      </c>
      <c r="B929" s="9" t="str">
        <f>IFERROR(__xludf.DUMMYFUNCTION("""COMPUTED_VALUE"""),"盧O峻")</f>
        <v>盧O峻</v>
      </c>
      <c r="C929" s="9" t="str">
        <f>IFERROR(__xludf.DUMMYFUNCTION("""COMPUTED_VALUE"""),"314*****tu.cyivs.cy.edu.tw")</f>
        <v>314*****tu.cyivs.cy.edu.tw</v>
      </c>
      <c r="D929" s="9" t="str">
        <f>IFERROR(__xludf.DUMMYFUNCTION("""COMPUTED_VALUE"""),"國立嘉義高級工業職業學校")</f>
        <v>國立嘉義高級工業職業學校</v>
      </c>
      <c r="E929" s="9" t="str">
        <f>IFERROR(__xludf.DUMMYFUNCTION("""COMPUTED_VALUE"""),"電機科")</f>
        <v>電機科</v>
      </c>
      <c r="F929" s="9" t="str">
        <f>IFERROR(__xludf.DUMMYFUNCTION("""COMPUTED_VALUE"""),"二年級")</f>
        <v>二年級</v>
      </c>
      <c r="G929" s="9" t="str">
        <f>IFERROR(__xludf.DUMMYFUNCTION("""COMPUTED_VALUE"""),"獎狀")</f>
        <v>獎狀</v>
      </c>
      <c r="H929" s="9"/>
    </row>
    <row r="930">
      <c r="A930" s="13" t="s">
        <v>11</v>
      </c>
      <c r="B930" s="9" t="str">
        <f>IFERROR(__xludf.DUMMYFUNCTION("""COMPUTED_VALUE"""),"張O")</f>
        <v>張O</v>
      </c>
      <c r="C930" s="9" t="str">
        <f>IFERROR(__xludf.DUMMYFUNCTION("""COMPUTED_VALUE"""),"s21*****tlhc.ylc.edu.tw")</f>
        <v>s21*****tlhc.ylc.edu.tw</v>
      </c>
      <c r="D930" s="9" t="str">
        <f>IFERROR(__xludf.DUMMYFUNCTION("""COMPUTED_VALUE"""),"國立斗六高級家事商業職業學校")</f>
        <v>國立斗六高級家事商業職業學校</v>
      </c>
      <c r="E930" s="9" t="str">
        <f>IFERROR(__xludf.DUMMYFUNCTION("""COMPUTED_VALUE"""),"國貿科")</f>
        <v>國貿科</v>
      </c>
      <c r="F930" s="9" t="str">
        <f>IFERROR(__xludf.DUMMYFUNCTION("""COMPUTED_VALUE"""),"三年級")</f>
        <v>三年級</v>
      </c>
      <c r="G930" s="9" t="str">
        <f>IFERROR(__xludf.DUMMYFUNCTION("""COMPUTED_VALUE"""),"獎狀")</f>
        <v>獎狀</v>
      </c>
      <c r="H930" s="9"/>
    </row>
    <row r="931">
      <c r="A931" s="13" t="s">
        <v>11</v>
      </c>
      <c r="B931" s="9" t="str">
        <f>IFERROR(__xludf.DUMMYFUNCTION("""COMPUTED_VALUE"""),"王O文")</f>
        <v>王O文</v>
      </c>
      <c r="C931" s="9" t="str">
        <f>IFERROR(__xludf.DUMMYFUNCTION("""COMPUTED_VALUE"""),"211*****s2.ccsh.tn.edu.tw")</f>
        <v>211*****s2.ccsh.tn.edu.tw</v>
      </c>
      <c r="D931" s="9" t="str">
        <f>IFERROR(__xludf.DUMMYFUNCTION("""COMPUTED_VALUE"""),"國立臺南家齊高級中等學校")</f>
        <v>國立臺南家齊高級中等學校</v>
      </c>
      <c r="E931" s="9" t="str">
        <f>IFERROR(__xludf.DUMMYFUNCTION("""COMPUTED_VALUE"""),"餐飲科")</f>
        <v>餐飲科</v>
      </c>
      <c r="F931" s="9" t="str">
        <f>IFERROR(__xludf.DUMMYFUNCTION("""COMPUTED_VALUE"""),"三年級")</f>
        <v>三年級</v>
      </c>
      <c r="G931" s="9" t="str">
        <f>IFERROR(__xludf.DUMMYFUNCTION("""COMPUTED_VALUE"""),"獎狀")</f>
        <v>獎狀</v>
      </c>
      <c r="H931" s="9"/>
    </row>
    <row r="932">
      <c r="A932" s="13" t="s">
        <v>11</v>
      </c>
      <c r="B932" s="9" t="str">
        <f>IFERROR(__xludf.DUMMYFUNCTION("""COMPUTED_VALUE"""),"黃O茹")</f>
        <v>黃O茹</v>
      </c>
      <c r="C932" s="9" t="str">
        <f>IFERROR(__xludf.DUMMYFUNCTION("""COMPUTED_VALUE"""),"216*****ail2.khgs.tn.edu.tw")</f>
        <v>216*****ail2.khgs.tn.edu.tw</v>
      </c>
      <c r="D932" s="9" t="str">
        <f>IFERROR(__xludf.DUMMYFUNCTION("""COMPUTED_VALUE"""),"臺南光華學校財團法人臺南市光華高級中學")</f>
        <v>臺南光華學校財團法人臺南市光華高級中學</v>
      </c>
      <c r="E932" s="9" t="str">
        <f>IFERROR(__xludf.DUMMYFUNCTION("""COMPUTED_VALUE"""),"流行服飾殼")</f>
        <v>流行服飾殼</v>
      </c>
      <c r="F932" s="9" t="str">
        <f>IFERROR(__xludf.DUMMYFUNCTION("""COMPUTED_VALUE"""),"三年級")</f>
        <v>三年級</v>
      </c>
      <c r="G932" s="9" t="str">
        <f>IFERROR(__xludf.DUMMYFUNCTION("""COMPUTED_VALUE"""),"獎狀")</f>
        <v>獎狀</v>
      </c>
      <c r="H932" s="9"/>
    </row>
    <row r="933">
      <c r="A933" s="13" t="s">
        <v>11</v>
      </c>
      <c r="B933" s="9" t="str">
        <f>IFERROR(__xludf.DUMMYFUNCTION("""COMPUTED_VALUE"""),"林O萱")</f>
        <v>林O萱</v>
      </c>
      <c r="C933" s="9" t="str">
        <f>IFERROR(__xludf.DUMMYFUNCTION("""COMPUTED_VALUE"""),"212*****ail2.khgs.tn.edu.tw")</f>
        <v>212*****ail2.khgs.tn.edu.tw</v>
      </c>
      <c r="D933" s="9" t="str">
        <f>IFERROR(__xludf.DUMMYFUNCTION("""COMPUTED_VALUE"""),"臺南光華學校財團法人臺南市光華高級中學")</f>
        <v>臺南光華學校財團法人臺南市光華高級中學</v>
      </c>
      <c r="E933" s="9" t="str">
        <f>IFERROR(__xludf.DUMMYFUNCTION("""COMPUTED_VALUE"""),"商業經營科")</f>
        <v>商業經營科</v>
      </c>
      <c r="F933" s="9" t="str">
        <f>IFERROR(__xludf.DUMMYFUNCTION("""COMPUTED_VALUE"""),"二年級")</f>
        <v>二年級</v>
      </c>
      <c r="G933" s="9" t="str">
        <f>IFERROR(__xludf.DUMMYFUNCTION("""COMPUTED_VALUE"""),"獎狀")</f>
        <v>獎狀</v>
      </c>
      <c r="H933" s="9"/>
    </row>
    <row r="934">
      <c r="A934" s="13" t="s">
        <v>11</v>
      </c>
      <c r="B934" s="9" t="str">
        <f>IFERROR(__xludf.DUMMYFUNCTION("""COMPUTED_VALUE"""),"莊O翰")</f>
        <v>莊O翰</v>
      </c>
      <c r="C934" s="9" t="str">
        <f>IFERROR(__xludf.DUMMYFUNCTION("""COMPUTED_VALUE"""),"212*****ail2.khgs.tn.edu.tw")</f>
        <v>212*****ail2.khgs.tn.edu.tw</v>
      </c>
      <c r="D934" s="9" t="str">
        <f>IFERROR(__xludf.DUMMYFUNCTION("""COMPUTED_VALUE"""),"臺南光華學校財團法人臺南市光華高級中學")</f>
        <v>臺南光華學校財團法人臺南市光華高級中學</v>
      </c>
      <c r="E934" s="9" t="str">
        <f>IFERROR(__xludf.DUMMYFUNCTION("""COMPUTED_VALUE"""),"商業經營科")</f>
        <v>商業經營科</v>
      </c>
      <c r="F934" s="9" t="str">
        <f>IFERROR(__xludf.DUMMYFUNCTION("""COMPUTED_VALUE"""),"三年級")</f>
        <v>三年級</v>
      </c>
      <c r="G934" s="9" t="str">
        <f>IFERROR(__xludf.DUMMYFUNCTION("""COMPUTED_VALUE"""),"獎狀")</f>
        <v>獎狀</v>
      </c>
      <c r="H934" s="9"/>
    </row>
    <row r="935">
      <c r="A935" s="13" t="s">
        <v>11</v>
      </c>
      <c r="B935" s="9" t="str">
        <f>IFERROR(__xludf.DUMMYFUNCTION("""COMPUTED_VALUE"""),"劉O玹")</f>
        <v>劉O玹</v>
      </c>
      <c r="C935" s="9" t="str">
        <f>IFERROR(__xludf.DUMMYFUNCTION("""COMPUTED_VALUE"""),"212*****ail2.khgs.tn.edu.tw")</f>
        <v>212*****ail2.khgs.tn.edu.tw</v>
      </c>
      <c r="D935" s="9" t="str">
        <f>IFERROR(__xludf.DUMMYFUNCTION("""COMPUTED_VALUE"""),"臺南光華學校財團法人臺南市光華高級中學")</f>
        <v>臺南光華學校財團法人臺南市光華高級中學</v>
      </c>
      <c r="E935" s="9" t="str">
        <f>IFERROR(__xludf.DUMMYFUNCTION("""COMPUTED_VALUE"""),"商業經營科")</f>
        <v>商業經營科</v>
      </c>
      <c r="F935" s="9" t="str">
        <f>IFERROR(__xludf.DUMMYFUNCTION("""COMPUTED_VALUE"""),"三年級")</f>
        <v>三年級</v>
      </c>
      <c r="G935" s="9" t="str">
        <f>IFERROR(__xludf.DUMMYFUNCTION("""COMPUTED_VALUE"""),"獎狀")</f>
        <v>獎狀</v>
      </c>
      <c r="H935" s="9"/>
    </row>
    <row r="936">
      <c r="A936" s="13" t="s">
        <v>11</v>
      </c>
      <c r="B936" s="9" t="str">
        <f>IFERROR(__xludf.DUMMYFUNCTION("""COMPUTED_VALUE"""),"吳O萱")</f>
        <v>吳O萱</v>
      </c>
      <c r="C936" s="9" t="str">
        <f>IFERROR(__xludf.DUMMYFUNCTION("""COMPUTED_VALUE"""),"212*****ail2.khgs.tn.edu.tw")</f>
        <v>212*****ail2.khgs.tn.edu.tw</v>
      </c>
      <c r="D936" s="9" t="str">
        <f>IFERROR(__xludf.DUMMYFUNCTION("""COMPUTED_VALUE"""),"臺南光華學校財團法人臺南市光華高級中學")</f>
        <v>臺南光華學校財團法人臺南市光華高級中學</v>
      </c>
      <c r="E936" s="9" t="str">
        <f>IFERROR(__xludf.DUMMYFUNCTION("""COMPUTED_VALUE"""),"商業經營科")</f>
        <v>商業經營科</v>
      </c>
      <c r="F936" s="9" t="str">
        <f>IFERROR(__xludf.DUMMYFUNCTION("""COMPUTED_VALUE"""),"三年級")</f>
        <v>三年級</v>
      </c>
      <c r="G936" s="9" t="str">
        <f>IFERROR(__xludf.DUMMYFUNCTION("""COMPUTED_VALUE"""),"獎狀")</f>
        <v>獎狀</v>
      </c>
      <c r="H936" s="9"/>
    </row>
    <row r="937">
      <c r="A937" s="13" t="s">
        <v>11</v>
      </c>
      <c r="B937" s="9" t="str">
        <f>IFERROR(__xludf.DUMMYFUNCTION("""COMPUTED_VALUE"""),"王O芸")</f>
        <v>王O芸</v>
      </c>
      <c r="C937" s="9" t="str">
        <f>IFERROR(__xludf.DUMMYFUNCTION("""COMPUTED_VALUE"""),"319*****ail2.khgs.tn.edu.tw")</f>
        <v>319*****ail2.khgs.tn.edu.tw</v>
      </c>
      <c r="D937" s="9" t="str">
        <f>IFERROR(__xludf.DUMMYFUNCTION("""COMPUTED_VALUE"""),"臺南光華學校財團法人臺南市光華高級中學")</f>
        <v>臺南光華學校財團法人臺南市光華高級中學</v>
      </c>
      <c r="E937" s="9" t="str">
        <f>IFERROR(__xludf.DUMMYFUNCTION("""COMPUTED_VALUE"""),"餐飲科")</f>
        <v>餐飲科</v>
      </c>
      <c r="F937" s="9" t="str">
        <f>IFERROR(__xludf.DUMMYFUNCTION("""COMPUTED_VALUE"""),"二年級")</f>
        <v>二年級</v>
      </c>
      <c r="G937" s="9" t="str">
        <f>IFERROR(__xludf.DUMMYFUNCTION("""COMPUTED_VALUE"""),"獎狀")</f>
        <v>獎狀</v>
      </c>
      <c r="H937" s="9"/>
    </row>
    <row r="938">
      <c r="A938" s="13" t="s">
        <v>11</v>
      </c>
      <c r="B938" s="9" t="str">
        <f>IFERROR(__xludf.DUMMYFUNCTION("""COMPUTED_VALUE"""),"許O亘")</f>
        <v>許O亘</v>
      </c>
      <c r="C938" s="9" t="str">
        <f>IFERROR(__xludf.DUMMYFUNCTION("""COMPUTED_VALUE"""),"319*****ail2.khgs.tn.edu.tw")</f>
        <v>319*****ail2.khgs.tn.edu.tw</v>
      </c>
      <c r="D938" s="9" t="str">
        <f>IFERROR(__xludf.DUMMYFUNCTION("""COMPUTED_VALUE"""),"臺南光華學校財團法人臺南市光華高級中學")</f>
        <v>臺南光華學校財團法人臺南市光華高級中學</v>
      </c>
      <c r="E938" s="9" t="str">
        <f>IFERROR(__xludf.DUMMYFUNCTION("""COMPUTED_VALUE"""),"餐飲科")</f>
        <v>餐飲科</v>
      </c>
      <c r="F938" s="9" t="str">
        <f>IFERROR(__xludf.DUMMYFUNCTION("""COMPUTED_VALUE"""),"二年級")</f>
        <v>二年級</v>
      </c>
      <c r="G938" s="9" t="str">
        <f>IFERROR(__xludf.DUMMYFUNCTION("""COMPUTED_VALUE"""),"獎狀")</f>
        <v>獎狀</v>
      </c>
      <c r="H938" s="9"/>
    </row>
    <row r="939">
      <c r="A939" s="13" t="s">
        <v>11</v>
      </c>
      <c r="B939" s="9" t="str">
        <f>IFERROR(__xludf.DUMMYFUNCTION("""COMPUTED_VALUE"""),"王O雅")</f>
        <v>王O雅</v>
      </c>
      <c r="C939" s="9" t="str">
        <f>IFERROR(__xludf.DUMMYFUNCTION("""COMPUTED_VALUE"""),"319*****ail2.khgs.tn.edu.tw")</f>
        <v>319*****ail2.khgs.tn.edu.tw</v>
      </c>
      <c r="D939" s="9" t="str">
        <f>IFERROR(__xludf.DUMMYFUNCTION("""COMPUTED_VALUE"""),"臺南光華學校財團法人臺南市光華高級中學")</f>
        <v>臺南光華學校財團法人臺南市光華高級中學</v>
      </c>
      <c r="E939" s="9" t="str">
        <f>IFERROR(__xludf.DUMMYFUNCTION("""COMPUTED_VALUE"""),"餐飲科")</f>
        <v>餐飲科</v>
      </c>
      <c r="F939" s="9" t="str">
        <f>IFERROR(__xludf.DUMMYFUNCTION("""COMPUTED_VALUE"""),"二年級")</f>
        <v>二年級</v>
      </c>
      <c r="G939" s="9" t="str">
        <f>IFERROR(__xludf.DUMMYFUNCTION("""COMPUTED_VALUE"""),"獎狀")</f>
        <v>獎狀</v>
      </c>
      <c r="H939" s="9"/>
    </row>
    <row r="940">
      <c r="A940" s="13" t="s">
        <v>11</v>
      </c>
      <c r="B940" s="9" t="str">
        <f>IFERROR(__xludf.DUMMYFUNCTION("""COMPUTED_VALUE"""),"吳O瑜")</f>
        <v>吳O瑜</v>
      </c>
      <c r="C940" s="9" t="str">
        <f>IFERROR(__xludf.DUMMYFUNCTION("""COMPUTED_VALUE"""),"319*****ail2.khgs.tn.edu.tw")</f>
        <v>319*****ail2.khgs.tn.edu.tw</v>
      </c>
      <c r="D940" s="9" t="str">
        <f>IFERROR(__xludf.DUMMYFUNCTION("""COMPUTED_VALUE"""),"臺南光華學校財團法人臺南市光華高級中學")</f>
        <v>臺南光華學校財團法人臺南市光華高級中學</v>
      </c>
      <c r="E940" s="9" t="str">
        <f>IFERROR(__xludf.DUMMYFUNCTION("""COMPUTED_VALUE"""),"餐飲科")</f>
        <v>餐飲科</v>
      </c>
      <c r="F940" s="9" t="str">
        <f>IFERROR(__xludf.DUMMYFUNCTION("""COMPUTED_VALUE"""),"二年級")</f>
        <v>二年級</v>
      </c>
      <c r="G940" s="9" t="str">
        <f>IFERROR(__xludf.DUMMYFUNCTION("""COMPUTED_VALUE"""),"○商品卡$500")</f>
        <v>○商品卡$500</v>
      </c>
      <c r="H940" s="9"/>
    </row>
    <row r="941">
      <c r="A941" s="13" t="s">
        <v>11</v>
      </c>
      <c r="B941" s="9" t="str">
        <f>IFERROR(__xludf.DUMMYFUNCTION("""COMPUTED_VALUE"""),"黃O真")</f>
        <v>黃O真</v>
      </c>
      <c r="C941" s="9" t="str">
        <f>IFERROR(__xludf.DUMMYFUNCTION("""COMPUTED_VALUE"""),"319*****ail2.khgs.tn.edu.tw")</f>
        <v>319*****ail2.khgs.tn.edu.tw</v>
      </c>
      <c r="D941" s="9" t="str">
        <f>IFERROR(__xludf.DUMMYFUNCTION("""COMPUTED_VALUE"""),"臺南光華學校財團法人臺南市光華高級中學")</f>
        <v>臺南光華學校財團法人臺南市光華高級中學</v>
      </c>
      <c r="E941" s="9" t="str">
        <f>IFERROR(__xludf.DUMMYFUNCTION("""COMPUTED_VALUE"""),"餐飲科")</f>
        <v>餐飲科</v>
      </c>
      <c r="F941" s="9" t="str">
        <f>IFERROR(__xludf.DUMMYFUNCTION("""COMPUTED_VALUE"""),"二年級")</f>
        <v>二年級</v>
      </c>
      <c r="G941" s="9" t="str">
        <f>IFERROR(__xludf.DUMMYFUNCTION("""COMPUTED_VALUE"""),"獎狀")</f>
        <v>獎狀</v>
      </c>
      <c r="H941" s="9"/>
    </row>
    <row r="942">
      <c r="A942" s="13" t="s">
        <v>11</v>
      </c>
      <c r="B942" s="9" t="str">
        <f>IFERROR(__xludf.DUMMYFUNCTION("""COMPUTED_VALUE"""),"吳O妤")</f>
        <v>吳O妤</v>
      </c>
      <c r="C942" s="9" t="str">
        <f>IFERROR(__xludf.DUMMYFUNCTION("""COMPUTED_VALUE"""),"319*****ail2.khgs.tn.edu.tw")</f>
        <v>319*****ail2.khgs.tn.edu.tw</v>
      </c>
      <c r="D942" s="9" t="str">
        <f>IFERROR(__xludf.DUMMYFUNCTION("""COMPUTED_VALUE"""),"臺南光華學校財團法人臺南市光華高級中學")</f>
        <v>臺南光華學校財團法人臺南市光華高級中學</v>
      </c>
      <c r="E942" s="9" t="str">
        <f>IFERROR(__xludf.DUMMYFUNCTION("""COMPUTED_VALUE"""),"餐飲科")</f>
        <v>餐飲科</v>
      </c>
      <c r="F942" s="9" t="str">
        <f>IFERROR(__xludf.DUMMYFUNCTION("""COMPUTED_VALUE"""),"二年級")</f>
        <v>二年級</v>
      </c>
      <c r="G942" s="9" t="str">
        <f>IFERROR(__xludf.DUMMYFUNCTION("""COMPUTED_VALUE"""),"獎狀")</f>
        <v>獎狀</v>
      </c>
      <c r="H942" s="9"/>
    </row>
    <row r="943">
      <c r="A943" s="13" t="s">
        <v>11</v>
      </c>
      <c r="B943" s="9" t="str">
        <f>IFERROR(__xludf.DUMMYFUNCTION("""COMPUTED_VALUE"""),"鍾O妘")</f>
        <v>鍾O妘</v>
      </c>
      <c r="C943" s="9" t="str">
        <f>IFERROR(__xludf.DUMMYFUNCTION("""COMPUTED_VALUE"""),"319*****ail2.khgs.tn.edu.tw")</f>
        <v>319*****ail2.khgs.tn.edu.tw</v>
      </c>
      <c r="D943" s="9" t="str">
        <f>IFERROR(__xludf.DUMMYFUNCTION("""COMPUTED_VALUE"""),"臺南光華學校財團法人臺南市光華高級中學")</f>
        <v>臺南光華學校財團法人臺南市光華高級中學</v>
      </c>
      <c r="E943" s="9" t="str">
        <f>IFERROR(__xludf.DUMMYFUNCTION("""COMPUTED_VALUE"""),"餐飲科")</f>
        <v>餐飲科</v>
      </c>
      <c r="F943" s="9" t="str">
        <f>IFERROR(__xludf.DUMMYFUNCTION("""COMPUTED_VALUE"""),"二年級")</f>
        <v>二年級</v>
      </c>
      <c r="G943" s="9" t="str">
        <f>IFERROR(__xludf.DUMMYFUNCTION("""COMPUTED_VALUE"""),"獎狀")</f>
        <v>獎狀</v>
      </c>
      <c r="H943" s="9"/>
    </row>
    <row r="944">
      <c r="A944" s="13" t="s">
        <v>11</v>
      </c>
      <c r="B944" s="9" t="str">
        <f>IFERROR(__xludf.DUMMYFUNCTION("""COMPUTED_VALUE"""),"許O茹")</f>
        <v>許O茹</v>
      </c>
      <c r="C944" s="9" t="str">
        <f>IFERROR(__xludf.DUMMYFUNCTION("""COMPUTED_VALUE"""),"319*****ail2.khgs.tn.edu.tw")</f>
        <v>319*****ail2.khgs.tn.edu.tw</v>
      </c>
      <c r="D944" s="9" t="str">
        <f>IFERROR(__xludf.DUMMYFUNCTION("""COMPUTED_VALUE"""),"臺南光華學校財團法人臺南市光華高級中學")</f>
        <v>臺南光華學校財團法人臺南市光華高級中學</v>
      </c>
      <c r="E944" s="9" t="str">
        <f>IFERROR(__xludf.DUMMYFUNCTION("""COMPUTED_VALUE"""),"餐飲科")</f>
        <v>餐飲科</v>
      </c>
      <c r="F944" s="9" t="str">
        <f>IFERROR(__xludf.DUMMYFUNCTION("""COMPUTED_VALUE"""),"二年級")</f>
        <v>二年級</v>
      </c>
      <c r="G944" s="9" t="str">
        <f>IFERROR(__xludf.DUMMYFUNCTION("""COMPUTED_VALUE"""),"獎狀")</f>
        <v>獎狀</v>
      </c>
      <c r="H944" s="9"/>
    </row>
    <row r="945">
      <c r="A945" s="13" t="s">
        <v>11</v>
      </c>
      <c r="B945" s="9" t="str">
        <f>IFERROR(__xludf.DUMMYFUNCTION("""COMPUTED_VALUE"""),"郭O嘉")</f>
        <v>郭O嘉</v>
      </c>
      <c r="C945" s="9" t="str">
        <f>IFERROR(__xludf.DUMMYFUNCTION("""COMPUTED_VALUE"""),"319*****ail2.khgs.tn.edu.tw")</f>
        <v>319*****ail2.khgs.tn.edu.tw</v>
      </c>
      <c r="D945" s="9" t="str">
        <f>IFERROR(__xludf.DUMMYFUNCTION("""COMPUTED_VALUE"""),"臺南光華學校財團法人臺南市光華高級中學")</f>
        <v>臺南光華學校財團法人臺南市光華高級中學</v>
      </c>
      <c r="E945" s="9" t="str">
        <f>IFERROR(__xludf.DUMMYFUNCTION("""COMPUTED_VALUE"""),"餐飲科")</f>
        <v>餐飲科</v>
      </c>
      <c r="F945" s="9" t="str">
        <f>IFERROR(__xludf.DUMMYFUNCTION("""COMPUTED_VALUE"""),"二年級")</f>
        <v>二年級</v>
      </c>
      <c r="G945" s="9" t="str">
        <f>IFERROR(__xludf.DUMMYFUNCTION("""COMPUTED_VALUE"""),"獎狀")</f>
        <v>獎狀</v>
      </c>
      <c r="H945" s="9"/>
    </row>
    <row r="946">
      <c r="A946" s="13" t="s">
        <v>11</v>
      </c>
      <c r="B946" s="9" t="str">
        <f>IFERROR(__xludf.DUMMYFUNCTION("""COMPUTED_VALUE"""),"李O樟")</f>
        <v>李O樟</v>
      </c>
      <c r="C946" s="9" t="str">
        <f>IFERROR(__xludf.DUMMYFUNCTION("""COMPUTED_VALUE"""),"319*****ail2.khgs.tn.edu.tw")</f>
        <v>319*****ail2.khgs.tn.edu.tw</v>
      </c>
      <c r="D946" s="9" t="str">
        <f>IFERROR(__xludf.DUMMYFUNCTION("""COMPUTED_VALUE"""),"臺南光華學校財團法人臺南市光華高級中學")</f>
        <v>臺南光華學校財團法人臺南市光華高級中學</v>
      </c>
      <c r="E946" s="9" t="str">
        <f>IFERROR(__xludf.DUMMYFUNCTION("""COMPUTED_VALUE"""),"餐飲科")</f>
        <v>餐飲科</v>
      </c>
      <c r="F946" s="9" t="str">
        <f>IFERROR(__xludf.DUMMYFUNCTION("""COMPUTED_VALUE"""),"二年級")</f>
        <v>二年級</v>
      </c>
      <c r="G946" s="9" t="str">
        <f>IFERROR(__xludf.DUMMYFUNCTION("""COMPUTED_VALUE"""),"獎狀")</f>
        <v>獎狀</v>
      </c>
      <c r="H946" s="9"/>
    </row>
    <row r="947">
      <c r="A947" s="13" t="s">
        <v>11</v>
      </c>
      <c r="B947" s="9" t="str">
        <f>IFERROR(__xludf.DUMMYFUNCTION("""COMPUTED_VALUE"""),"丁O倢")</f>
        <v>丁O倢</v>
      </c>
      <c r="C947" s="9" t="str">
        <f>IFERROR(__xludf.DUMMYFUNCTION("""COMPUTED_VALUE"""),"319*****ail2.khgs.tn.edu.tw")</f>
        <v>319*****ail2.khgs.tn.edu.tw</v>
      </c>
      <c r="D947" s="9" t="str">
        <f>IFERROR(__xludf.DUMMYFUNCTION("""COMPUTED_VALUE"""),"臺南光華學校財團法人臺南市光華高級中學")</f>
        <v>臺南光華學校財團法人臺南市光華高級中學</v>
      </c>
      <c r="E947" s="9" t="str">
        <f>IFERROR(__xludf.DUMMYFUNCTION("""COMPUTED_VALUE"""),"餐飲科")</f>
        <v>餐飲科</v>
      </c>
      <c r="F947" s="9" t="str">
        <f>IFERROR(__xludf.DUMMYFUNCTION("""COMPUTED_VALUE"""),"二年級")</f>
        <v>二年級</v>
      </c>
      <c r="G947" s="9" t="str">
        <f>IFERROR(__xludf.DUMMYFUNCTION("""COMPUTED_VALUE"""),"獎狀")</f>
        <v>獎狀</v>
      </c>
      <c r="H947" s="9"/>
    </row>
    <row r="948">
      <c r="A948" s="13" t="s">
        <v>11</v>
      </c>
      <c r="B948" s="9" t="str">
        <f>IFERROR(__xludf.DUMMYFUNCTION("""COMPUTED_VALUE"""),"陳O妤")</f>
        <v>陳O妤</v>
      </c>
      <c r="C948" s="9" t="str">
        <f>IFERROR(__xludf.DUMMYFUNCTION("""COMPUTED_VALUE"""),"319*****ail2.khgs.tn.edu.tw")</f>
        <v>319*****ail2.khgs.tn.edu.tw</v>
      </c>
      <c r="D948" s="9" t="str">
        <f>IFERROR(__xludf.DUMMYFUNCTION("""COMPUTED_VALUE"""),"臺南光華學校財團法人臺南市光華高級中學")</f>
        <v>臺南光華學校財團法人臺南市光華高級中學</v>
      </c>
      <c r="E948" s="9" t="str">
        <f>IFERROR(__xludf.DUMMYFUNCTION("""COMPUTED_VALUE"""),"餐飲科")</f>
        <v>餐飲科</v>
      </c>
      <c r="F948" s="9" t="str">
        <f>IFERROR(__xludf.DUMMYFUNCTION("""COMPUTED_VALUE"""),"二年級")</f>
        <v>二年級</v>
      </c>
      <c r="G948" s="9" t="str">
        <f>IFERROR(__xludf.DUMMYFUNCTION("""COMPUTED_VALUE"""),"獎狀")</f>
        <v>獎狀</v>
      </c>
      <c r="H948" s="9"/>
    </row>
    <row r="949">
      <c r="A949" s="13" t="s">
        <v>11</v>
      </c>
      <c r="B949" s="9" t="str">
        <f>IFERROR(__xludf.DUMMYFUNCTION("""COMPUTED_VALUE"""),"蔡O嘉")</f>
        <v>蔡O嘉</v>
      </c>
      <c r="C949" s="9" t="str">
        <f>IFERROR(__xludf.DUMMYFUNCTION("""COMPUTED_VALUE"""),"319*****ail2.khgs.tn.edu.tw")</f>
        <v>319*****ail2.khgs.tn.edu.tw</v>
      </c>
      <c r="D949" s="9" t="str">
        <f>IFERROR(__xludf.DUMMYFUNCTION("""COMPUTED_VALUE"""),"臺南光華學校財團法人臺南市光華高級中學")</f>
        <v>臺南光華學校財團法人臺南市光華高級中學</v>
      </c>
      <c r="E949" s="9" t="str">
        <f>IFERROR(__xludf.DUMMYFUNCTION("""COMPUTED_VALUE"""),"餐飲科")</f>
        <v>餐飲科</v>
      </c>
      <c r="F949" s="9" t="str">
        <f>IFERROR(__xludf.DUMMYFUNCTION("""COMPUTED_VALUE"""),"二年級")</f>
        <v>二年級</v>
      </c>
      <c r="G949" s="9" t="str">
        <f>IFERROR(__xludf.DUMMYFUNCTION("""COMPUTED_VALUE"""),"獎狀")</f>
        <v>獎狀</v>
      </c>
      <c r="H949" s="9"/>
    </row>
    <row r="950">
      <c r="A950" s="13" t="s">
        <v>11</v>
      </c>
      <c r="B950" s="9" t="str">
        <f>IFERROR(__xludf.DUMMYFUNCTION("""COMPUTED_VALUE"""),"王O聿")</f>
        <v>王O聿</v>
      </c>
      <c r="C950" s="9" t="str">
        <f>IFERROR(__xludf.DUMMYFUNCTION("""COMPUTED_VALUE"""),"319*****ail2.khgs.tn.edu.tw")</f>
        <v>319*****ail2.khgs.tn.edu.tw</v>
      </c>
      <c r="D950" s="9" t="str">
        <f>IFERROR(__xludf.DUMMYFUNCTION("""COMPUTED_VALUE"""),"臺南光華學校財團法人臺南市光華高級中學")</f>
        <v>臺南光華學校財團法人臺南市光華高級中學</v>
      </c>
      <c r="E950" s="9" t="str">
        <f>IFERROR(__xludf.DUMMYFUNCTION("""COMPUTED_VALUE"""),"餐飲科")</f>
        <v>餐飲科</v>
      </c>
      <c r="F950" s="9" t="str">
        <f>IFERROR(__xludf.DUMMYFUNCTION("""COMPUTED_VALUE"""),"二年級")</f>
        <v>二年級</v>
      </c>
      <c r="G950" s="9" t="str">
        <f>IFERROR(__xludf.DUMMYFUNCTION("""COMPUTED_VALUE"""),"■商品卡$200")</f>
        <v>■商品卡$200</v>
      </c>
      <c r="H950" s="9"/>
    </row>
    <row r="951">
      <c r="A951" s="13" t="s">
        <v>11</v>
      </c>
      <c r="B951" s="9" t="str">
        <f>IFERROR(__xludf.DUMMYFUNCTION("""COMPUTED_VALUE"""),"劉O毅")</f>
        <v>劉O毅</v>
      </c>
      <c r="C951" s="9" t="str">
        <f>IFERROR(__xludf.DUMMYFUNCTION("""COMPUTED_VALUE"""),"a09*****807@gmail.com")</f>
        <v>a09*****807@gmail.com</v>
      </c>
      <c r="D951" s="9" t="str">
        <f>IFERROR(__xludf.DUMMYFUNCTION("""COMPUTED_VALUE"""),"臺南光華學校財團法人臺南市光華高級中學")</f>
        <v>臺南光華學校財團法人臺南市光華高級中學</v>
      </c>
      <c r="E951" s="9" t="str">
        <f>IFERROR(__xludf.DUMMYFUNCTION("""COMPUTED_VALUE"""),"餐飲科")</f>
        <v>餐飲科</v>
      </c>
      <c r="F951" s="9" t="str">
        <f>IFERROR(__xludf.DUMMYFUNCTION("""COMPUTED_VALUE"""),"三年級")</f>
        <v>三年級</v>
      </c>
      <c r="G951" s="9" t="str">
        <f>IFERROR(__xludf.DUMMYFUNCTION("""COMPUTED_VALUE"""),"■商品卡$200")</f>
        <v>■商品卡$200</v>
      </c>
      <c r="H951" s="9"/>
    </row>
    <row r="952">
      <c r="A952" s="13" t="s">
        <v>11</v>
      </c>
      <c r="B952" s="9" t="str">
        <f>IFERROR(__xludf.DUMMYFUNCTION("""COMPUTED_VALUE"""),"鄭O?諼")</f>
        <v>鄭O?諼</v>
      </c>
      <c r="C952" s="9" t="str">
        <f>IFERROR(__xludf.DUMMYFUNCTION("""COMPUTED_VALUE"""),"s21*****gapps.tnvs.tn.edu.tw")</f>
        <v>s21*****gapps.tnvs.tn.edu.tw</v>
      </c>
      <c r="D952" s="9" t="str">
        <f>IFERROR(__xludf.DUMMYFUNCTION("""COMPUTED_VALUE"""),"國立臺南高級海事水產職業學校")</f>
        <v>國立臺南高級海事水產職業學校</v>
      </c>
      <c r="E952" s="9" t="str">
        <f>IFERROR(__xludf.DUMMYFUNCTION("""COMPUTED_VALUE"""),"商業經營科")</f>
        <v>商業經營科</v>
      </c>
      <c r="F952" s="9" t="str">
        <f>IFERROR(__xludf.DUMMYFUNCTION("""COMPUTED_VALUE"""),"二年級")</f>
        <v>二年級</v>
      </c>
      <c r="G952" s="9" t="str">
        <f>IFERROR(__xludf.DUMMYFUNCTION("""COMPUTED_VALUE"""),"獎狀")</f>
        <v>獎狀</v>
      </c>
      <c r="H952" s="9"/>
    </row>
    <row r="953">
      <c r="A953" s="13" t="s">
        <v>11</v>
      </c>
      <c r="B953" s="9" t="str">
        <f>IFERROR(__xludf.DUMMYFUNCTION("""COMPUTED_VALUE"""),"鄭O?瑾")</f>
        <v>鄭O?瑾</v>
      </c>
      <c r="C953" s="9" t="str">
        <f>IFERROR(__xludf.DUMMYFUNCTION("""COMPUTED_VALUE"""),"s21*****gapps.tnvs.tn.edu.tw")</f>
        <v>s21*****gapps.tnvs.tn.edu.tw</v>
      </c>
      <c r="D953" s="9" t="str">
        <f>IFERROR(__xludf.DUMMYFUNCTION("""COMPUTED_VALUE"""),"國立臺南高級海事水產職業學校")</f>
        <v>國立臺南高級海事水產職業學校</v>
      </c>
      <c r="E953" s="9" t="str">
        <f>IFERROR(__xludf.DUMMYFUNCTION("""COMPUTED_VALUE"""),"商業經營科")</f>
        <v>商業經營科</v>
      </c>
      <c r="F953" s="9" t="str">
        <f>IFERROR(__xludf.DUMMYFUNCTION("""COMPUTED_VALUE"""),"三年級")</f>
        <v>三年級</v>
      </c>
      <c r="G953" s="9" t="str">
        <f>IFERROR(__xludf.DUMMYFUNCTION("""COMPUTED_VALUE"""),"獎狀")</f>
        <v>獎狀</v>
      </c>
      <c r="H953" s="9"/>
    </row>
    <row r="954">
      <c r="A954" s="13" t="s">
        <v>11</v>
      </c>
      <c r="B954" s="9" t="str">
        <f>IFERROR(__xludf.DUMMYFUNCTION("""COMPUTED_VALUE"""),"鄭O錡")</f>
        <v>鄭O錡</v>
      </c>
      <c r="C954" s="9" t="str">
        <f>IFERROR(__xludf.DUMMYFUNCTION("""COMPUTED_VALUE"""),"s21*****gapps.tnvs.tn.edu.tw")</f>
        <v>s21*****gapps.tnvs.tn.edu.tw</v>
      </c>
      <c r="D954" s="9" t="str">
        <f>IFERROR(__xludf.DUMMYFUNCTION("""COMPUTED_VALUE"""),"國立臺南高級海事水產職業學校")</f>
        <v>國立臺南高級海事水產職業學校</v>
      </c>
      <c r="E954" s="9" t="str">
        <f>IFERROR(__xludf.DUMMYFUNCTION("""COMPUTED_VALUE"""),"電子科")</f>
        <v>電子科</v>
      </c>
      <c r="F954" s="9" t="str">
        <f>IFERROR(__xludf.DUMMYFUNCTION("""COMPUTED_VALUE"""),"二年級")</f>
        <v>二年級</v>
      </c>
      <c r="G954" s="9" t="str">
        <f>IFERROR(__xludf.DUMMYFUNCTION("""COMPUTED_VALUE"""),"■商品卡$200")</f>
        <v>■商品卡$200</v>
      </c>
      <c r="H954" s="9"/>
    </row>
    <row r="955">
      <c r="A955" s="13" t="s">
        <v>11</v>
      </c>
      <c r="B955" s="9" t="str">
        <f>IFERROR(__xludf.DUMMYFUNCTION("""COMPUTED_VALUE"""),"楊O佑")</f>
        <v>楊O佑</v>
      </c>
      <c r="C955" s="9" t="str">
        <f>IFERROR(__xludf.DUMMYFUNCTION("""COMPUTED_VALUE"""),"s21*****gapps.tnvs.tn.edu.tw")</f>
        <v>s21*****gapps.tnvs.tn.edu.tw</v>
      </c>
      <c r="D955" s="9" t="str">
        <f>IFERROR(__xludf.DUMMYFUNCTION("""COMPUTED_VALUE"""),"國立臺南高級海事水產職業學校")</f>
        <v>國立臺南高級海事水產職業學校</v>
      </c>
      <c r="E955" s="9" t="str">
        <f>IFERROR(__xludf.DUMMYFUNCTION("""COMPUTED_VALUE"""),"電子科")</f>
        <v>電子科</v>
      </c>
      <c r="F955" s="9" t="str">
        <f>IFERROR(__xludf.DUMMYFUNCTION("""COMPUTED_VALUE"""),"二年級")</f>
        <v>二年級</v>
      </c>
      <c r="G955" s="9" t="str">
        <f>IFERROR(__xludf.DUMMYFUNCTION("""COMPUTED_VALUE"""),"獎狀")</f>
        <v>獎狀</v>
      </c>
      <c r="H955" s="9"/>
    </row>
    <row r="956">
      <c r="A956" s="13" t="s">
        <v>11</v>
      </c>
      <c r="B956" s="9" t="str">
        <f>IFERROR(__xludf.DUMMYFUNCTION("""COMPUTED_VALUE"""),"許O維")</f>
        <v>許O維</v>
      </c>
      <c r="C956" s="9" t="str">
        <f>IFERROR(__xludf.DUMMYFUNCTION("""COMPUTED_VALUE"""),"s21*****gapps.tnvs.tn.edu.tw")</f>
        <v>s21*****gapps.tnvs.tn.edu.tw</v>
      </c>
      <c r="D956" s="9" t="str">
        <f>IFERROR(__xludf.DUMMYFUNCTION("""COMPUTED_VALUE"""),"國立臺南高級海事水產職業學校")</f>
        <v>國立臺南高級海事水產職業學校</v>
      </c>
      <c r="E956" s="9" t="str">
        <f>IFERROR(__xludf.DUMMYFUNCTION("""COMPUTED_VALUE"""),"電子科")</f>
        <v>電子科</v>
      </c>
      <c r="F956" s="9" t="str">
        <f>IFERROR(__xludf.DUMMYFUNCTION("""COMPUTED_VALUE"""),"二年級")</f>
        <v>二年級</v>
      </c>
      <c r="G956" s="9" t="str">
        <f>IFERROR(__xludf.DUMMYFUNCTION("""COMPUTED_VALUE"""),"獎狀")</f>
        <v>獎狀</v>
      </c>
      <c r="H956" s="9"/>
    </row>
    <row r="957">
      <c r="A957" s="13" t="s">
        <v>11</v>
      </c>
      <c r="B957" s="9" t="str">
        <f>IFERROR(__xludf.DUMMYFUNCTION("""COMPUTED_VALUE"""),"嚴O淳")</f>
        <v>嚴O淳</v>
      </c>
      <c r="C957" s="9" t="str">
        <f>IFERROR(__xludf.DUMMYFUNCTION("""COMPUTED_VALUE"""),"103*****@gm.ptivs.tn.edu.tw")</f>
        <v>103*****@gm.ptivs.tn.edu.tw</v>
      </c>
      <c r="D957" s="9" t="str">
        <f>IFERROR(__xludf.DUMMYFUNCTION("""COMPUTED_VALUE"""),"國立成功大學附屬臺南工業高級中等學校")</f>
        <v>國立成功大學附屬臺南工業高級中等學校</v>
      </c>
      <c r="E957" s="9" t="str">
        <f>IFERROR(__xludf.DUMMYFUNCTION("""COMPUTED_VALUE"""),"建築科")</f>
        <v>建築科</v>
      </c>
      <c r="F957" s="9" t="str">
        <f>IFERROR(__xludf.DUMMYFUNCTION("""COMPUTED_VALUE"""),"二年級")</f>
        <v>二年級</v>
      </c>
      <c r="G957" s="9" t="str">
        <f>IFERROR(__xludf.DUMMYFUNCTION("""COMPUTED_VALUE"""),"獎狀")</f>
        <v>獎狀</v>
      </c>
      <c r="H957" s="9"/>
    </row>
    <row r="958">
      <c r="A958" s="13" t="s">
        <v>11</v>
      </c>
      <c r="B958" s="9" t="str">
        <f>IFERROR(__xludf.DUMMYFUNCTION("""COMPUTED_VALUE"""),"林O翰")</f>
        <v>林O翰</v>
      </c>
      <c r="C958" s="9" t="str">
        <f>IFERROR(__xludf.DUMMYFUNCTION("""COMPUTED_VALUE"""),"103*****@gm.ptivs.tn.edu.tw")</f>
        <v>103*****@gm.ptivs.tn.edu.tw</v>
      </c>
      <c r="D958" s="9" t="str">
        <f>IFERROR(__xludf.DUMMYFUNCTION("""COMPUTED_VALUE"""),"國立成功大學附屬臺南工業高級中等學校")</f>
        <v>國立成功大學附屬臺南工業高級中等學校</v>
      </c>
      <c r="E958" s="9" t="str">
        <f>IFERROR(__xludf.DUMMYFUNCTION("""COMPUTED_VALUE"""),"建築科")</f>
        <v>建築科</v>
      </c>
      <c r="F958" s="9" t="str">
        <f>IFERROR(__xludf.DUMMYFUNCTION("""COMPUTED_VALUE"""),"二年級")</f>
        <v>二年級</v>
      </c>
      <c r="G958" s="9" t="str">
        <f>IFERROR(__xludf.DUMMYFUNCTION("""COMPUTED_VALUE"""),"獎狀")</f>
        <v>獎狀</v>
      </c>
      <c r="H958" s="9"/>
    </row>
    <row r="959">
      <c r="A959" s="13" t="s">
        <v>11</v>
      </c>
      <c r="B959" s="9" t="str">
        <f>IFERROR(__xludf.DUMMYFUNCTION("""COMPUTED_VALUE"""),"魏O恩")</f>
        <v>魏O恩</v>
      </c>
      <c r="C959" s="9" t="str">
        <f>IFERROR(__xludf.DUMMYFUNCTION("""COMPUTED_VALUE"""),"mis*****imo@gmail.com")</f>
        <v>mis*****imo@gmail.com</v>
      </c>
      <c r="D959" s="9" t="str">
        <f>IFERROR(__xludf.DUMMYFUNCTION("""COMPUTED_VALUE"""),"國立成功大學附屬臺南工業高級中等學校")</f>
        <v>國立成功大學附屬臺南工業高級中等學校</v>
      </c>
      <c r="E959" s="9" t="str">
        <f>IFERROR(__xludf.DUMMYFUNCTION("""COMPUTED_VALUE"""),"電機科")</f>
        <v>電機科</v>
      </c>
      <c r="F959" s="9" t="str">
        <f>IFERROR(__xludf.DUMMYFUNCTION("""COMPUTED_VALUE"""),"一年級")</f>
        <v>一年級</v>
      </c>
      <c r="G959" s="9" t="str">
        <f>IFERROR(__xludf.DUMMYFUNCTION("""COMPUTED_VALUE"""),"獎狀")</f>
        <v>獎狀</v>
      </c>
      <c r="H959" s="11"/>
    </row>
    <row r="960">
      <c r="A960" s="13" t="s">
        <v>11</v>
      </c>
      <c r="B960" s="9" t="str">
        <f>IFERROR(__xludf.DUMMYFUNCTION("""COMPUTED_VALUE"""),"黃O儀")</f>
        <v>黃O儀</v>
      </c>
      <c r="C960" s="9" t="str">
        <f>IFERROR(__xludf.DUMMYFUNCTION("""COMPUTED_VALUE"""),"210*****m.tntcsh.tn.edu.tw")</f>
        <v>210*****m.tntcsh.tn.edu.tw</v>
      </c>
      <c r="D960" s="9" t="str">
        <f>IFERROR(__xludf.DUMMYFUNCTION("""COMPUTED_VALUE"""),"國立臺南大學附屬高級中學")</f>
        <v>國立臺南大學附屬高級中學</v>
      </c>
      <c r="E960" s="9" t="str">
        <f>IFERROR(__xludf.DUMMYFUNCTION("""COMPUTED_VALUE"""),"土木營建科")</f>
        <v>土木營建科</v>
      </c>
      <c r="F960" s="9" t="str">
        <f>IFERROR(__xludf.DUMMYFUNCTION("""COMPUTED_VALUE"""),"三年級")</f>
        <v>三年級</v>
      </c>
      <c r="G960" s="9" t="str">
        <f>IFERROR(__xludf.DUMMYFUNCTION("""COMPUTED_VALUE"""),"獎狀")</f>
        <v>獎狀</v>
      </c>
      <c r="H960" s="9"/>
    </row>
    <row r="961">
      <c r="A961" s="13" t="s">
        <v>11</v>
      </c>
      <c r="B961" s="9" t="str">
        <f>IFERROR(__xludf.DUMMYFUNCTION("""COMPUTED_VALUE"""),"魏O晨")</f>
        <v>魏O晨</v>
      </c>
      <c r="C961" s="9" t="str">
        <f>IFERROR(__xludf.DUMMYFUNCTION("""COMPUTED_VALUE"""),"210*****m.tntcsh.tn.edu.tw")</f>
        <v>210*****m.tntcsh.tn.edu.tw</v>
      </c>
      <c r="D961" s="9" t="str">
        <f>IFERROR(__xludf.DUMMYFUNCTION("""COMPUTED_VALUE"""),"國立臺南大學附屬高級中學")</f>
        <v>國立臺南大學附屬高級中學</v>
      </c>
      <c r="E961" s="9" t="str">
        <f>IFERROR(__xludf.DUMMYFUNCTION("""COMPUTED_VALUE"""),"土木營建科")</f>
        <v>土木營建科</v>
      </c>
      <c r="F961" s="9" t="str">
        <f>IFERROR(__xludf.DUMMYFUNCTION("""COMPUTED_VALUE"""),"三年級")</f>
        <v>三年級</v>
      </c>
      <c r="G961" s="9" t="str">
        <f>IFERROR(__xludf.DUMMYFUNCTION("""COMPUTED_VALUE"""),"獎狀")</f>
        <v>獎狀</v>
      </c>
      <c r="H961" s="9"/>
    </row>
    <row r="962">
      <c r="A962" s="13" t="s">
        <v>11</v>
      </c>
      <c r="B962" s="9" t="str">
        <f>IFERROR(__xludf.DUMMYFUNCTION("""COMPUTED_VALUE"""),"張O瑜")</f>
        <v>張O瑜</v>
      </c>
      <c r="C962" s="9" t="str">
        <f>IFERROR(__xludf.DUMMYFUNCTION("""COMPUTED_VALUE"""),"210*****m.tntcsh.tn.edu.tw")</f>
        <v>210*****m.tntcsh.tn.edu.tw</v>
      </c>
      <c r="D962" s="9" t="str">
        <f>IFERROR(__xludf.DUMMYFUNCTION("""COMPUTED_VALUE"""),"國立臺南大學附屬高級中學")</f>
        <v>國立臺南大學附屬高級中學</v>
      </c>
      <c r="E962" s="9" t="str">
        <f>IFERROR(__xludf.DUMMYFUNCTION("""COMPUTED_VALUE"""),"土木營建科")</f>
        <v>土木營建科</v>
      </c>
      <c r="F962" s="9" t="str">
        <f>IFERROR(__xludf.DUMMYFUNCTION("""COMPUTED_VALUE"""),"三年級")</f>
        <v>三年級</v>
      </c>
      <c r="G962" s="9" t="str">
        <f>IFERROR(__xludf.DUMMYFUNCTION("""COMPUTED_VALUE"""),"★商品卡$1000")</f>
        <v>★商品卡$1000</v>
      </c>
      <c r="H962" s="9"/>
    </row>
    <row r="963">
      <c r="A963" s="13" t="s">
        <v>11</v>
      </c>
      <c r="B963" s="9" t="str">
        <f>IFERROR(__xludf.DUMMYFUNCTION("""COMPUTED_VALUE"""),"李O庭")</f>
        <v>李O庭</v>
      </c>
      <c r="C963" s="9" t="str">
        <f>IFERROR(__xludf.DUMMYFUNCTION("""COMPUTED_VALUE"""),"211*****m.tntcsh.tn.edu.tw")</f>
        <v>211*****m.tntcsh.tn.edu.tw</v>
      </c>
      <c r="D963" s="9" t="str">
        <f>IFERROR(__xludf.DUMMYFUNCTION("""COMPUTED_VALUE"""),"國立臺南大學附屬高級中學")</f>
        <v>國立臺南大學附屬高級中學</v>
      </c>
      <c r="E963" s="9" t="str">
        <f>IFERROR(__xludf.DUMMYFUNCTION("""COMPUTED_VALUE"""),"資料處理科")</f>
        <v>資料處理科</v>
      </c>
      <c r="F963" s="9" t="str">
        <f>IFERROR(__xludf.DUMMYFUNCTION("""COMPUTED_VALUE"""),"三年級")</f>
        <v>三年級</v>
      </c>
      <c r="G963" s="9" t="str">
        <f>IFERROR(__xludf.DUMMYFUNCTION("""COMPUTED_VALUE"""),"○商品卡$500")</f>
        <v>○商品卡$500</v>
      </c>
      <c r="H963" s="9"/>
    </row>
    <row r="964">
      <c r="A964" s="13" t="s">
        <v>11</v>
      </c>
      <c r="B964" s="9" t="str">
        <f>IFERROR(__xludf.DUMMYFUNCTION("""COMPUTED_VALUE"""),"方O茗")</f>
        <v>方O茗</v>
      </c>
      <c r="C964" s="9" t="str">
        <f>IFERROR(__xludf.DUMMYFUNCTION("""COMPUTED_VALUE"""),"210*****m.tntcsh.tn.edu.tw")</f>
        <v>210*****m.tntcsh.tn.edu.tw</v>
      </c>
      <c r="D964" s="9" t="str">
        <f>IFERROR(__xludf.DUMMYFUNCTION("""COMPUTED_VALUE"""),"國立臺南大學附屬高級中學")</f>
        <v>國立臺南大學附屬高級中學</v>
      </c>
      <c r="E964" s="9" t="str">
        <f>IFERROR(__xludf.DUMMYFUNCTION("""COMPUTED_VALUE"""),"資料處理科")</f>
        <v>資料處理科</v>
      </c>
      <c r="F964" s="9" t="str">
        <f>IFERROR(__xludf.DUMMYFUNCTION("""COMPUTED_VALUE"""),"三年級")</f>
        <v>三年級</v>
      </c>
      <c r="G964" s="9" t="str">
        <f>IFERROR(__xludf.DUMMYFUNCTION("""COMPUTED_VALUE"""),"獎狀")</f>
        <v>獎狀</v>
      </c>
      <c r="H964" s="9"/>
    </row>
    <row r="965">
      <c r="A965" s="13" t="s">
        <v>11</v>
      </c>
      <c r="B965" s="9" t="str">
        <f>IFERROR(__xludf.DUMMYFUNCTION("""COMPUTED_VALUE"""),"李O宏")</f>
        <v>李O宏</v>
      </c>
      <c r="C965" s="9" t="str">
        <f>IFERROR(__xludf.DUMMYFUNCTION("""COMPUTED_VALUE"""),"210*****m.tntcsh.tn.edu.tw")</f>
        <v>210*****m.tntcsh.tn.edu.tw</v>
      </c>
      <c r="D965" s="9" t="str">
        <f>IFERROR(__xludf.DUMMYFUNCTION("""COMPUTED_VALUE"""),"國立臺南大學附屬高級中學")</f>
        <v>國立臺南大學附屬高級中學</v>
      </c>
      <c r="E965" s="9" t="str">
        <f>IFERROR(__xludf.DUMMYFUNCTION("""COMPUTED_VALUE"""),"資料處理科")</f>
        <v>資料處理科</v>
      </c>
      <c r="F965" s="9" t="str">
        <f>IFERROR(__xludf.DUMMYFUNCTION("""COMPUTED_VALUE"""),"三年級")</f>
        <v>三年級</v>
      </c>
      <c r="G965" s="9" t="str">
        <f>IFERROR(__xludf.DUMMYFUNCTION("""COMPUTED_VALUE"""),"獎狀")</f>
        <v>獎狀</v>
      </c>
      <c r="H965" s="9"/>
    </row>
    <row r="966">
      <c r="A966" s="13" t="s">
        <v>11</v>
      </c>
      <c r="B966" s="9" t="str">
        <f>IFERROR(__xludf.DUMMYFUNCTION("""COMPUTED_VALUE"""),"詹O夢")</f>
        <v>詹O夢</v>
      </c>
      <c r="C966" s="9" t="str">
        <f>IFERROR(__xludf.DUMMYFUNCTION("""COMPUTED_VALUE"""),"210*****m.tntcsh.tn.edu.tw")</f>
        <v>210*****m.tntcsh.tn.edu.tw</v>
      </c>
      <c r="D966" s="9" t="str">
        <f>IFERROR(__xludf.DUMMYFUNCTION("""COMPUTED_VALUE"""),"國立臺南大學附屬高級中學")</f>
        <v>國立臺南大學附屬高級中學</v>
      </c>
      <c r="E966" s="9" t="str">
        <f>IFERROR(__xludf.DUMMYFUNCTION("""COMPUTED_VALUE"""),"資料處理科")</f>
        <v>資料處理科</v>
      </c>
      <c r="F966" s="9" t="str">
        <f>IFERROR(__xludf.DUMMYFUNCTION("""COMPUTED_VALUE"""),"三年級")</f>
        <v>三年級</v>
      </c>
      <c r="G966" s="9" t="str">
        <f>IFERROR(__xludf.DUMMYFUNCTION("""COMPUTED_VALUE"""),"★商品卡$1000")</f>
        <v>★商品卡$1000</v>
      </c>
      <c r="H966" s="9"/>
    </row>
    <row r="967">
      <c r="A967" s="13" t="s">
        <v>11</v>
      </c>
      <c r="B967" s="9" t="str">
        <f>IFERROR(__xludf.DUMMYFUNCTION("""COMPUTED_VALUE"""),"梁O民")</f>
        <v>梁O民</v>
      </c>
      <c r="C967" s="9" t="str">
        <f>IFERROR(__xludf.DUMMYFUNCTION("""COMPUTED_VALUE"""),"a09*****706@gmail.com")</f>
        <v>a09*****706@gmail.com</v>
      </c>
      <c r="D967" s="9" t="str">
        <f>IFERROR(__xludf.DUMMYFUNCTION("""COMPUTED_VALUE"""),"國立臺南大學附屬高級中學")</f>
        <v>國立臺南大學附屬高級中學</v>
      </c>
      <c r="E967" s="9" t="str">
        <f>IFERROR(__xludf.DUMMYFUNCTION("""COMPUTED_VALUE"""),"資料處理科")</f>
        <v>資料處理科</v>
      </c>
      <c r="F967" s="9" t="str">
        <f>IFERROR(__xludf.DUMMYFUNCTION("""COMPUTED_VALUE"""),"三年級")</f>
        <v>三年級</v>
      </c>
      <c r="G967" s="9" t="str">
        <f>IFERROR(__xludf.DUMMYFUNCTION("""COMPUTED_VALUE"""),"獎狀")</f>
        <v>獎狀</v>
      </c>
      <c r="H967" s="9"/>
    </row>
    <row r="968">
      <c r="A968" s="13" t="s">
        <v>11</v>
      </c>
      <c r="B968" s="9" t="str">
        <f>IFERROR(__xludf.DUMMYFUNCTION("""COMPUTED_VALUE"""),"陳O其")</f>
        <v>陳O其</v>
      </c>
      <c r="C968" s="9" t="str">
        <f>IFERROR(__xludf.DUMMYFUNCTION("""COMPUTED_VALUE"""),"211*****m.tntcsh.tn.edu.tw")</f>
        <v>211*****m.tntcsh.tn.edu.tw</v>
      </c>
      <c r="D968" s="9" t="str">
        <f>IFERROR(__xludf.DUMMYFUNCTION("""COMPUTED_VALUE"""),"國立臺南大學附屬高級中學")</f>
        <v>國立臺南大學附屬高級中學</v>
      </c>
      <c r="E968" s="9" t="str">
        <f>IFERROR(__xludf.DUMMYFUNCTION("""COMPUTED_VALUE"""),"資料處理科")</f>
        <v>資料處理科</v>
      </c>
      <c r="F968" s="9" t="str">
        <f>IFERROR(__xludf.DUMMYFUNCTION("""COMPUTED_VALUE"""),"三年級")</f>
        <v>三年級</v>
      </c>
      <c r="G968" s="9" t="str">
        <f>IFERROR(__xludf.DUMMYFUNCTION("""COMPUTED_VALUE"""),"獎狀")</f>
        <v>獎狀</v>
      </c>
      <c r="H968" s="9"/>
    </row>
    <row r="969">
      <c r="A969" s="13" t="s">
        <v>11</v>
      </c>
      <c r="B969" s="9" t="str">
        <f>IFERROR(__xludf.DUMMYFUNCTION("""COMPUTED_VALUE"""),"買O恩")</f>
        <v>買O恩</v>
      </c>
      <c r="C969" s="9" t="str">
        <f>IFERROR(__xludf.DUMMYFUNCTION("""COMPUTED_VALUE"""),"210*****m.tntcsh.tn.edu.tw")</f>
        <v>210*****m.tntcsh.tn.edu.tw</v>
      </c>
      <c r="D969" s="9" t="str">
        <f>IFERROR(__xludf.DUMMYFUNCTION("""COMPUTED_VALUE"""),"國立臺南大學附屬高級中學")</f>
        <v>國立臺南大學附屬高級中學</v>
      </c>
      <c r="E969" s="9" t="str">
        <f>IFERROR(__xludf.DUMMYFUNCTION("""COMPUTED_VALUE"""),"資料處理科")</f>
        <v>資料處理科</v>
      </c>
      <c r="F969" s="9" t="str">
        <f>IFERROR(__xludf.DUMMYFUNCTION("""COMPUTED_VALUE"""),"三年級")</f>
        <v>三年級</v>
      </c>
      <c r="G969" s="9" t="str">
        <f>IFERROR(__xludf.DUMMYFUNCTION("""COMPUTED_VALUE"""),"獎狀")</f>
        <v>獎狀</v>
      </c>
      <c r="H969" s="9"/>
    </row>
    <row r="970">
      <c r="A970" s="13" t="s">
        <v>11</v>
      </c>
      <c r="B970" s="9" t="str">
        <f>IFERROR(__xludf.DUMMYFUNCTION("""COMPUTED_VALUE"""),"張O婷")</f>
        <v>張O婷</v>
      </c>
      <c r="C970" s="9" t="str">
        <f>IFERROR(__xludf.DUMMYFUNCTION("""COMPUTED_VALUE"""),"211*****m.tntcsh.tn.edu.tw")</f>
        <v>211*****m.tntcsh.tn.edu.tw</v>
      </c>
      <c r="D970" s="9" t="str">
        <f>IFERROR(__xludf.DUMMYFUNCTION("""COMPUTED_VALUE"""),"國立臺南大學附屬高級中學")</f>
        <v>國立臺南大學附屬高級中學</v>
      </c>
      <c r="E970" s="9" t="str">
        <f>IFERROR(__xludf.DUMMYFUNCTION("""COMPUTED_VALUE"""),"資料處理科")</f>
        <v>資料處理科</v>
      </c>
      <c r="F970" s="9" t="str">
        <f>IFERROR(__xludf.DUMMYFUNCTION("""COMPUTED_VALUE"""),"三年級")</f>
        <v>三年級</v>
      </c>
      <c r="G970" s="9" t="str">
        <f>IFERROR(__xludf.DUMMYFUNCTION("""COMPUTED_VALUE"""),"獎狀")</f>
        <v>獎狀</v>
      </c>
      <c r="H970" s="9"/>
    </row>
    <row r="971">
      <c r="A971" s="13" t="s">
        <v>11</v>
      </c>
      <c r="B971" s="9" t="str">
        <f>IFERROR(__xludf.DUMMYFUNCTION("""COMPUTED_VALUE"""),"吳O姍")</f>
        <v>吳O姍</v>
      </c>
      <c r="C971" s="9" t="str">
        <f>IFERROR(__xludf.DUMMYFUNCTION("""COMPUTED_VALUE"""),"s31*****sfsh.tn.edu.tw")</f>
        <v>s31*****sfsh.tn.edu.tw</v>
      </c>
      <c r="D971" s="9" t="str">
        <f>IFERROR(__xludf.DUMMYFUNCTION("""COMPUTED_VALUE"""),"國立新豐高級中學")</f>
        <v>國立新豐高級中學</v>
      </c>
      <c r="E971" s="9" t="str">
        <f>IFERROR(__xludf.DUMMYFUNCTION("""COMPUTED_VALUE"""),"商業科")</f>
        <v>商業科</v>
      </c>
      <c r="F971" s="9" t="str">
        <f>IFERROR(__xludf.DUMMYFUNCTION("""COMPUTED_VALUE"""),"二年級")</f>
        <v>二年級</v>
      </c>
      <c r="G971" s="9" t="str">
        <f>IFERROR(__xludf.DUMMYFUNCTION("""COMPUTED_VALUE"""),"獎狀")</f>
        <v>獎狀</v>
      </c>
      <c r="H971" s="11"/>
    </row>
    <row r="972">
      <c r="A972" s="13" t="s">
        <v>11</v>
      </c>
      <c r="B972" s="9" t="str">
        <f>IFERROR(__xludf.DUMMYFUNCTION("""COMPUTED_VALUE"""),"黃O甄")</f>
        <v>黃O甄</v>
      </c>
      <c r="C972" s="9" t="str">
        <f>IFERROR(__xludf.DUMMYFUNCTION("""COMPUTED_VALUE"""),"ak1*****k@gmail.com")</f>
        <v>ak1*****k@gmail.com</v>
      </c>
      <c r="D972" s="9" t="str">
        <f>IFERROR(__xludf.DUMMYFUNCTION("""COMPUTED_VALUE"""),"國立曾文高級家事商業職業學校")</f>
        <v>國立曾文高級家事商業職業學校</v>
      </c>
      <c r="E972" s="9" t="str">
        <f>IFERROR(__xludf.DUMMYFUNCTION("""COMPUTED_VALUE"""),"廣設科")</f>
        <v>廣設科</v>
      </c>
      <c r="F972" s="9" t="str">
        <f>IFERROR(__xludf.DUMMYFUNCTION("""COMPUTED_VALUE"""),"三年級")</f>
        <v>三年級</v>
      </c>
      <c r="G972" s="9" t="str">
        <f>IFERROR(__xludf.DUMMYFUNCTION("""COMPUTED_VALUE"""),"獎狀")</f>
        <v>獎狀</v>
      </c>
      <c r="H972" s="9"/>
    </row>
    <row r="973">
      <c r="A973" s="13" t="s">
        <v>11</v>
      </c>
      <c r="B973" s="9" t="str">
        <f>IFERROR(__xludf.DUMMYFUNCTION("""COMPUTED_VALUE"""),"陳O如")</f>
        <v>陳O如</v>
      </c>
      <c r="C973" s="9" t="str">
        <f>IFERROR(__xludf.DUMMYFUNCTION("""COMPUTED_VALUE"""),"pin*****n0830@gmail.com")</f>
        <v>pin*****n0830@gmail.com</v>
      </c>
      <c r="D973" s="9" t="str">
        <f>IFERROR(__xludf.DUMMYFUNCTION("""COMPUTED_VALUE"""),"國立曾文高級家事商業職業學校")</f>
        <v>國立曾文高級家事商業職業學校</v>
      </c>
      <c r="E973" s="9" t="str">
        <f>IFERROR(__xludf.DUMMYFUNCTION("""COMPUTED_VALUE"""),"廣設科")</f>
        <v>廣設科</v>
      </c>
      <c r="F973" s="9" t="str">
        <f>IFERROR(__xludf.DUMMYFUNCTION("""COMPUTED_VALUE"""),"三年級")</f>
        <v>三年級</v>
      </c>
      <c r="G973" s="9" t="str">
        <f>IFERROR(__xludf.DUMMYFUNCTION("""COMPUTED_VALUE"""),"獎狀")</f>
        <v>獎狀</v>
      </c>
      <c r="H973" s="9"/>
    </row>
    <row r="974">
      <c r="A974" s="13" t="s">
        <v>11</v>
      </c>
      <c r="B974" s="9" t="str">
        <f>IFERROR(__xludf.DUMMYFUNCTION("""COMPUTED_VALUE"""),"黃O妘")</f>
        <v>黃O妘</v>
      </c>
      <c r="C974" s="9" t="str">
        <f>IFERROR(__xludf.DUMMYFUNCTION("""COMPUTED_VALUE"""),"a09*****889@gmail.com")</f>
        <v>a09*****889@gmail.com</v>
      </c>
      <c r="D974" s="9" t="str">
        <f>IFERROR(__xludf.DUMMYFUNCTION("""COMPUTED_VALUE"""),"國立曾文高級家事商業職業學校")</f>
        <v>國立曾文高級家事商業職業學校</v>
      </c>
      <c r="E974" s="9" t="str">
        <f>IFERROR(__xludf.DUMMYFUNCTION("""COMPUTED_VALUE"""),"廣設科")</f>
        <v>廣設科</v>
      </c>
      <c r="F974" s="9" t="str">
        <f>IFERROR(__xludf.DUMMYFUNCTION("""COMPUTED_VALUE"""),"三年級")</f>
        <v>三年級</v>
      </c>
      <c r="G974" s="9" t="str">
        <f>IFERROR(__xludf.DUMMYFUNCTION("""COMPUTED_VALUE"""),"獎狀")</f>
        <v>獎狀</v>
      </c>
      <c r="H974" s="9"/>
    </row>
    <row r="975">
      <c r="A975" s="13" t="s">
        <v>11</v>
      </c>
      <c r="B975" s="9" t="str">
        <f>IFERROR(__xludf.DUMMYFUNCTION("""COMPUTED_VALUE"""),"林O瑩")</f>
        <v>林O瑩</v>
      </c>
      <c r="C975" s="9" t="str">
        <f>IFERROR(__xludf.DUMMYFUNCTION("""COMPUTED_VALUE"""),"xi.*****@gmail.com")</f>
        <v>xi.*****@gmail.com</v>
      </c>
      <c r="D975" s="9" t="str">
        <f>IFERROR(__xludf.DUMMYFUNCTION("""COMPUTED_VALUE"""),"國立曾文高級家事商業職業學校")</f>
        <v>國立曾文高級家事商業職業學校</v>
      </c>
      <c r="E975" s="9" t="str">
        <f>IFERROR(__xludf.DUMMYFUNCTION("""COMPUTED_VALUE"""),"廣設科")</f>
        <v>廣設科</v>
      </c>
      <c r="F975" s="9" t="str">
        <f>IFERROR(__xludf.DUMMYFUNCTION("""COMPUTED_VALUE"""),"三年級")</f>
        <v>三年級</v>
      </c>
      <c r="G975" s="9" t="str">
        <f>IFERROR(__xludf.DUMMYFUNCTION("""COMPUTED_VALUE"""),"獎狀")</f>
        <v>獎狀</v>
      </c>
      <c r="H975" s="9"/>
    </row>
    <row r="976">
      <c r="A976" s="13" t="s">
        <v>11</v>
      </c>
      <c r="B976" s="9" t="str">
        <f>IFERROR(__xludf.DUMMYFUNCTION("""COMPUTED_VALUE"""),"曾O甯")</f>
        <v>曾O甯</v>
      </c>
      <c r="C976" s="9" t="str">
        <f>IFERROR(__xludf.DUMMYFUNCTION("""COMPUTED_VALUE"""),"que*****70818@gmail.com")</f>
        <v>que*****70818@gmail.com</v>
      </c>
      <c r="D976" s="9" t="str">
        <f>IFERROR(__xludf.DUMMYFUNCTION("""COMPUTED_VALUE"""),"國立曾文高級家事商業職業學校")</f>
        <v>國立曾文高級家事商業職業學校</v>
      </c>
      <c r="E976" s="9" t="str">
        <f>IFERROR(__xludf.DUMMYFUNCTION("""COMPUTED_VALUE"""),"廣設科")</f>
        <v>廣設科</v>
      </c>
      <c r="F976" s="9" t="str">
        <f>IFERROR(__xludf.DUMMYFUNCTION("""COMPUTED_VALUE"""),"三年級")</f>
        <v>三年級</v>
      </c>
      <c r="G976" s="9" t="str">
        <f>IFERROR(__xludf.DUMMYFUNCTION("""COMPUTED_VALUE"""),"○商品卡$500")</f>
        <v>○商品卡$500</v>
      </c>
      <c r="H976" s="9"/>
    </row>
    <row r="977">
      <c r="A977" s="13" t="s">
        <v>11</v>
      </c>
      <c r="B977" s="9" t="str">
        <f>IFERROR(__xludf.DUMMYFUNCTION("""COMPUTED_VALUE"""),"魏O穆")</f>
        <v>魏O穆</v>
      </c>
      <c r="C977" s="9" t="str">
        <f>IFERROR(__xludf.DUMMYFUNCTION("""COMPUTED_VALUE"""),"and*****73@gmail.com")</f>
        <v>and*****73@gmail.com</v>
      </c>
      <c r="D977" s="9" t="str">
        <f>IFERROR(__xludf.DUMMYFUNCTION("""COMPUTED_VALUE"""),"國立曾文高級家事商業職業學校")</f>
        <v>國立曾文高級家事商業職業學校</v>
      </c>
      <c r="E977" s="9" t="str">
        <f>IFERROR(__xludf.DUMMYFUNCTION("""COMPUTED_VALUE"""),"廣設科")</f>
        <v>廣設科</v>
      </c>
      <c r="F977" s="9" t="str">
        <f>IFERROR(__xludf.DUMMYFUNCTION("""COMPUTED_VALUE"""),"三年級")</f>
        <v>三年級</v>
      </c>
      <c r="G977" s="9" t="str">
        <f>IFERROR(__xludf.DUMMYFUNCTION("""COMPUTED_VALUE"""),"獎狀")</f>
        <v>獎狀</v>
      </c>
      <c r="H977" s="9"/>
    </row>
    <row r="978">
      <c r="A978" s="13" t="s">
        <v>11</v>
      </c>
      <c r="B978" s="9" t="str">
        <f>IFERROR(__xludf.DUMMYFUNCTION("""COMPUTED_VALUE"""),"李O融")</f>
        <v>李O融</v>
      </c>
      <c r="C978" s="9" t="str">
        <f>IFERROR(__xludf.DUMMYFUNCTION("""COMPUTED_VALUE"""),"a31*****ms2.twvs.tn.edu.tw")</f>
        <v>a31*****ms2.twvs.tn.edu.tw</v>
      </c>
      <c r="D978" s="9" t="str">
        <f>IFERROR(__xludf.DUMMYFUNCTION("""COMPUTED_VALUE"""),"國立曾文高級家事商業職業學校")</f>
        <v>國立曾文高級家事商業職業學校</v>
      </c>
      <c r="E978" s="9" t="str">
        <f>IFERROR(__xludf.DUMMYFUNCTION("""COMPUTED_VALUE"""),"餐飲科")</f>
        <v>餐飲科</v>
      </c>
      <c r="F978" s="9" t="str">
        <f>IFERROR(__xludf.DUMMYFUNCTION("""COMPUTED_VALUE"""),"二年級")</f>
        <v>二年級</v>
      </c>
      <c r="G978" s="9" t="str">
        <f>IFERROR(__xludf.DUMMYFUNCTION("""COMPUTED_VALUE"""),"■商品卡$200")</f>
        <v>■商品卡$200</v>
      </c>
      <c r="H978" s="9"/>
    </row>
    <row r="979">
      <c r="A979" s="13" t="s">
        <v>11</v>
      </c>
      <c r="B979" s="9" t="str">
        <f>IFERROR(__xludf.DUMMYFUNCTION("""COMPUTED_VALUE"""),"曾O晴")</f>
        <v>曾O晴</v>
      </c>
      <c r="C979" s="9" t="str">
        <f>IFERROR(__xludf.DUMMYFUNCTION("""COMPUTED_VALUE"""),"a31*****ms2.twvs.tn.edu.tw")</f>
        <v>a31*****ms2.twvs.tn.edu.tw</v>
      </c>
      <c r="D979" s="9" t="str">
        <f>IFERROR(__xludf.DUMMYFUNCTION("""COMPUTED_VALUE"""),"國立曾文高級家事商業職業學校")</f>
        <v>國立曾文高級家事商業職業學校</v>
      </c>
      <c r="E979" s="9" t="str">
        <f>IFERROR(__xludf.DUMMYFUNCTION("""COMPUTED_VALUE"""),"餐飲科")</f>
        <v>餐飲科</v>
      </c>
      <c r="F979" s="9" t="str">
        <f>IFERROR(__xludf.DUMMYFUNCTION("""COMPUTED_VALUE"""),"二年級")</f>
        <v>二年級</v>
      </c>
      <c r="G979" s="9" t="str">
        <f>IFERROR(__xludf.DUMMYFUNCTION("""COMPUTED_VALUE"""),"○商品卡$500")</f>
        <v>○商品卡$500</v>
      </c>
      <c r="H979" s="9"/>
    </row>
    <row r="980">
      <c r="A980" s="13" t="s">
        <v>11</v>
      </c>
      <c r="B980" s="9" t="str">
        <f>IFERROR(__xludf.DUMMYFUNCTION("""COMPUTED_VALUE"""),"宋O祐")</f>
        <v>宋O祐</v>
      </c>
      <c r="C980" s="9" t="str">
        <f>IFERROR(__xludf.DUMMYFUNCTION("""COMPUTED_VALUE"""),"yoy*****417@gmail.com")</f>
        <v>yoy*****417@gmail.com</v>
      </c>
      <c r="D980" s="9" t="str">
        <f>IFERROR(__xludf.DUMMYFUNCTION("""COMPUTED_VALUE"""),"國立新營高級中學")</f>
        <v>國立新營高級中學</v>
      </c>
      <c r="E980" s="9" t="str">
        <f>IFERROR(__xludf.DUMMYFUNCTION("""COMPUTED_VALUE"""),"技高")</f>
        <v>技高</v>
      </c>
      <c r="F980" s="9" t="str">
        <f>IFERROR(__xludf.DUMMYFUNCTION("""COMPUTED_VALUE"""),"二年級")</f>
        <v>二年級</v>
      </c>
      <c r="G980" s="9" t="str">
        <f>IFERROR(__xludf.DUMMYFUNCTION("""COMPUTED_VALUE"""),"○商品卡$500")</f>
        <v>○商品卡$500</v>
      </c>
      <c r="H980" s="9"/>
    </row>
    <row r="981">
      <c r="A981" s="13" t="s">
        <v>11</v>
      </c>
      <c r="B981" s="9" t="str">
        <f>IFERROR(__xludf.DUMMYFUNCTION("""COMPUTED_VALUE"""),"李O宏")</f>
        <v>李O宏</v>
      </c>
      <c r="C981" s="9" t="str">
        <f>IFERROR(__xludf.DUMMYFUNCTION("""COMPUTED_VALUE"""),"and*****616@gmail.com")</f>
        <v>and*****616@gmail.com</v>
      </c>
      <c r="D981" s="9" t="str">
        <f>IFERROR(__xludf.DUMMYFUNCTION("""COMPUTED_VALUE"""),"國立新營高級中學")</f>
        <v>國立新營高級中學</v>
      </c>
      <c r="E981" s="9" t="str">
        <f>IFERROR(__xludf.DUMMYFUNCTION("""COMPUTED_VALUE"""),"技高")</f>
        <v>技高</v>
      </c>
      <c r="F981" s="9" t="str">
        <f>IFERROR(__xludf.DUMMYFUNCTION("""COMPUTED_VALUE"""),"二年級")</f>
        <v>二年級</v>
      </c>
      <c r="G981" s="9" t="str">
        <f>IFERROR(__xludf.DUMMYFUNCTION("""COMPUTED_VALUE"""),"■商品卡$200")</f>
        <v>■商品卡$200</v>
      </c>
      <c r="H981" s="9"/>
    </row>
    <row r="982">
      <c r="A982" s="13" t="s">
        <v>11</v>
      </c>
      <c r="B982" s="9" t="str">
        <f>IFERROR(__xludf.DUMMYFUNCTION("""COMPUTED_VALUE"""),"沈O緯")</f>
        <v>沈O緯</v>
      </c>
      <c r="C982" s="9" t="str">
        <f>IFERROR(__xludf.DUMMYFUNCTION("""COMPUTED_VALUE"""),"a63*****@gmail.com")</f>
        <v>a63*****@gmail.com</v>
      </c>
      <c r="D982" s="9" t="str">
        <f>IFERROR(__xludf.DUMMYFUNCTION("""COMPUTED_VALUE"""),"國立新營高級中學")</f>
        <v>國立新營高級中學</v>
      </c>
      <c r="E982" s="9" t="str">
        <f>IFERROR(__xludf.DUMMYFUNCTION("""COMPUTED_VALUE"""),"技高")</f>
        <v>技高</v>
      </c>
      <c r="F982" s="9" t="str">
        <f>IFERROR(__xludf.DUMMYFUNCTION("""COMPUTED_VALUE"""),"二年級")</f>
        <v>二年級</v>
      </c>
      <c r="G982" s="9" t="str">
        <f>IFERROR(__xludf.DUMMYFUNCTION("""COMPUTED_VALUE"""),"獎狀")</f>
        <v>獎狀</v>
      </c>
      <c r="H982" s="9"/>
    </row>
    <row r="983">
      <c r="A983" s="13" t="s">
        <v>11</v>
      </c>
      <c r="B983" s="9" t="str">
        <f>IFERROR(__xludf.DUMMYFUNCTION("""COMPUTED_VALUE"""),"翁O澤")</f>
        <v>翁O澤</v>
      </c>
      <c r="C983" s="9" t="str">
        <f>IFERROR(__xludf.DUMMYFUNCTION("""COMPUTED_VALUE"""),"s09*****655@gmail.com")</f>
        <v>s09*****655@gmail.com</v>
      </c>
      <c r="D983" s="9" t="str">
        <f>IFERROR(__xludf.DUMMYFUNCTION("""COMPUTED_VALUE"""),"國立新營高級中學")</f>
        <v>國立新營高級中學</v>
      </c>
      <c r="E983" s="9" t="str">
        <f>IFERROR(__xludf.DUMMYFUNCTION("""COMPUTED_VALUE"""),"技高")</f>
        <v>技高</v>
      </c>
      <c r="F983" s="9" t="str">
        <f>IFERROR(__xludf.DUMMYFUNCTION("""COMPUTED_VALUE"""),"二年級")</f>
        <v>二年級</v>
      </c>
      <c r="G983" s="9" t="str">
        <f>IFERROR(__xludf.DUMMYFUNCTION("""COMPUTED_VALUE"""),"■商品卡$200")</f>
        <v>■商品卡$200</v>
      </c>
      <c r="H983" s="9"/>
    </row>
    <row r="984">
      <c r="A984" s="13" t="s">
        <v>11</v>
      </c>
      <c r="B984" s="9" t="str">
        <f>IFERROR(__xludf.DUMMYFUNCTION("""COMPUTED_VALUE"""),"劉O君")</f>
        <v>劉O君</v>
      </c>
      <c r="C984" s="9" t="str">
        <f>IFERROR(__xludf.DUMMYFUNCTION("""COMPUTED_VALUE"""),"liu*****un6@gmail.com")</f>
        <v>liu*****un6@gmail.com</v>
      </c>
      <c r="D984" s="9" t="str">
        <f>IFERROR(__xludf.DUMMYFUNCTION("""COMPUTED_VALUE"""),"國立新營高級中學")</f>
        <v>國立新營高級中學</v>
      </c>
      <c r="E984" s="9" t="str">
        <f>IFERROR(__xludf.DUMMYFUNCTION("""COMPUTED_VALUE"""),"技高")</f>
        <v>技高</v>
      </c>
      <c r="F984" s="9" t="str">
        <f>IFERROR(__xludf.DUMMYFUNCTION("""COMPUTED_VALUE"""),"二年級")</f>
        <v>二年級</v>
      </c>
      <c r="G984" s="9" t="str">
        <f>IFERROR(__xludf.DUMMYFUNCTION("""COMPUTED_VALUE"""),"獎狀")</f>
        <v>獎狀</v>
      </c>
      <c r="H984" s="9"/>
    </row>
    <row r="985">
      <c r="A985" s="13" t="s">
        <v>11</v>
      </c>
      <c r="B985" s="9" t="str">
        <f>IFERROR(__xludf.DUMMYFUNCTION("""COMPUTED_VALUE"""),"林O翰")</f>
        <v>林O翰</v>
      </c>
      <c r="C985" s="9" t="str">
        <f>IFERROR(__xludf.DUMMYFUNCTION("""COMPUTED_VALUE"""),"980*****im@gmail.com")</f>
        <v>980*****im@gmail.com</v>
      </c>
      <c r="D985" s="9" t="str">
        <f>IFERROR(__xludf.DUMMYFUNCTION("""COMPUTED_VALUE"""),"國立新營高級中學")</f>
        <v>國立新營高級中學</v>
      </c>
      <c r="E985" s="9" t="str">
        <f>IFERROR(__xludf.DUMMYFUNCTION("""COMPUTED_VALUE"""),"技高")</f>
        <v>技高</v>
      </c>
      <c r="F985" s="9" t="str">
        <f>IFERROR(__xludf.DUMMYFUNCTION("""COMPUTED_VALUE"""),"二年級")</f>
        <v>二年級</v>
      </c>
      <c r="G985" s="9" t="str">
        <f>IFERROR(__xludf.DUMMYFUNCTION("""COMPUTED_VALUE"""),"■商品卡$200")</f>
        <v>■商品卡$200</v>
      </c>
      <c r="H985" s="9"/>
    </row>
    <row r="986">
      <c r="A986" s="13" t="s">
        <v>11</v>
      </c>
      <c r="B986" s="9" t="str">
        <f>IFERROR(__xludf.DUMMYFUNCTION("""COMPUTED_VALUE"""),"何O蓁")</f>
        <v>何O蓁</v>
      </c>
      <c r="C986" s="9" t="str">
        <f>IFERROR(__xludf.DUMMYFUNCTION("""COMPUTED_VALUE"""),"miy*****023@gmail.com")</f>
        <v>miy*****023@gmail.com</v>
      </c>
      <c r="D986" s="9" t="str">
        <f>IFERROR(__xludf.DUMMYFUNCTION("""COMPUTED_VALUE"""),"國立新營高級中學")</f>
        <v>國立新營高級中學</v>
      </c>
      <c r="E986" s="9" t="str">
        <f>IFERROR(__xludf.DUMMYFUNCTION("""COMPUTED_VALUE"""),"技高")</f>
        <v>技高</v>
      </c>
      <c r="F986" s="9" t="str">
        <f>IFERROR(__xludf.DUMMYFUNCTION("""COMPUTED_VALUE"""),"二年級")</f>
        <v>二年級</v>
      </c>
      <c r="G986" s="9" t="str">
        <f>IFERROR(__xludf.DUMMYFUNCTION("""COMPUTED_VALUE"""),"獎狀")</f>
        <v>獎狀</v>
      </c>
      <c r="H986" s="9"/>
    </row>
    <row r="987">
      <c r="A987" s="13" t="s">
        <v>11</v>
      </c>
      <c r="B987" s="9" t="str">
        <f>IFERROR(__xludf.DUMMYFUNCTION("""COMPUTED_VALUE"""),"吳O銣")</f>
        <v>吳O銣</v>
      </c>
      <c r="C987" s="9" t="str">
        <f>IFERROR(__xludf.DUMMYFUNCTION("""COMPUTED_VALUE"""),"a09*****591@gmail.com")</f>
        <v>a09*****591@gmail.com</v>
      </c>
      <c r="D987" s="9" t="str">
        <f>IFERROR(__xludf.DUMMYFUNCTION("""COMPUTED_VALUE"""),"國立新營高級中學")</f>
        <v>國立新營高級中學</v>
      </c>
      <c r="E987" s="9" t="str">
        <f>IFERROR(__xludf.DUMMYFUNCTION("""COMPUTED_VALUE"""),"技高")</f>
        <v>技高</v>
      </c>
      <c r="F987" s="9" t="str">
        <f>IFERROR(__xludf.DUMMYFUNCTION("""COMPUTED_VALUE"""),"二年級")</f>
        <v>二年級</v>
      </c>
      <c r="G987" s="9" t="str">
        <f>IFERROR(__xludf.DUMMYFUNCTION("""COMPUTED_VALUE"""),"獎狀")</f>
        <v>獎狀</v>
      </c>
      <c r="H987" s="9"/>
    </row>
    <row r="988">
      <c r="A988" s="13" t="s">
        <v>11</v>
      </c>
      <c r="B988" s="9" t="str">
        <f>IFERROR(__xludf.DUMMYFUNCTION("""COMPUTED_VALUE"""),"顏O婷")</f>
        <v>顏O婷</v>
      </c>
      <c r="C988" s="9" t="str">
        <f>IFERROR(__xludf.DUMMYFUNCTION("""COMPUTED_VALUE"""),"tin*****884105@gmail.com")</f>
        <v>tin*****884105@gmail.com</v>
      </c>
      <c r="D988" s="9" t="str">
        <f>IFERROR(__xludf.DUMMYFUNCTION("""COMPUTED_VALUE"""),"國立新營高級中學")</f>
        <v>國立新營高級中學</v>
      </c>
      <c r="E988" s="9" t="str">
        <f>IFERROR(__xludf.DUMMYFUNCTION("""COMPUTED_VALUE"""),"技高")</f>
        <v>技高</v>
      </c>
      <c r="F988" s="9" t="str">
        <f>IFERROR(__xludf.DUMMYFUNCTION("""COMPUTED_VALUE"""),"二年級")</f>
        <v>二年級</v>
      </c>
      <c r="G988" s="9" t="str">
        <f>IFERROR(__xludf.DUMMYFUNCTION("""COMPUTED_VALUE"""),"獎狀")</f>
        <v>獎狀</v>
      </c>
      <c r="H988" s="9"/>
    </row>
    <row r="989">
      <c r="A989" s="13" t="s">
        <v>11</v>
      </c>
      <c r="B989" s="9" t="str">
        <f>IFERROR(__xludf.DUMMYFUNCTION("""COMPUTED_VALUE"""),"陳O錡")</f>
        <v>陳O錡</v>
      </c>
      <c r="C989" s="9" t="str">
        <f>IFERROR(__xludf.DUMMYFUNCTION("""COMPUTED_VALUE"""),"www*****9@gmail.com")</f>
        <v>www*****9@gmail.com</v>
      </c>
      <c r="D989" s="9" t="str">
        <f>IFERROR(__xludf.DUMMYFUNCTION("""COMPUTED_VALUE"""),"國立新營高級中學")</f>
        <v>國立新營高級中學</v>
      </c>
      <c r="E989" s="9" t="str">
        <f>IFERROR(__xludf.DUMMYFUNCTION("""COMPUTED_VALUE"""),"技高")</f>
        <v>技高</v>
      </c>
      <c r="F989" s="9" t="str">
        <f>IFERROR(__xludf.DUMMYFUNCTION("""COMPUTED_VALUE"""),"二年級")</f>
        <v>二年級</v>
      </c>
      <c r="G989" s="9" t="str">
        <f>IFERROR(__xludf.DUMMYFUNCTION("""COMPUTED_VALUE"""),"獎狀")</f>
        <v>獎狀</v>
      </c>
      <c r="H989" s="9"/>
    </row>
    <row r="990">
      <c r="A990" s="13" t="s">
        <v>11</v>
      </c>
      <c r="B990" s="9" t="str">
        <f>IFERROR(__xludf.DUMMYFUNCTION("""COMPUTED_VALUE"""),"陳O恬")</f>
        <v>陳O恬</v>
      </c>
      <c r="C990" s="9" t="str">
        <f>IFERROR(__xludf.DUMMYFUNCTION("""COMPUTED_VALUE"""),"qub*****@gmail.com")</f>
        <v>qub*****@gmail.com</v>
      </c>
      <c r="D990" s="9" t="str">
        <f>IFERROR(__xludf.DUMMYFUNCTION("""COMPUTED_VALUE"""),"國立新營高級中學")</f>
        <v>國立新營高級中學</v>
      </c>
      <c r="E990" s="9" t="str">
        <f>IFERROR(__xludf.DUMMYFUNCTION("""COMPUTED_VALUE"""),"技高")</f>
        <v>技高</v>
      </c>
      <c r="F990" s="9" t="str">
        <f>IFERROR(__xludf.DUMMYFUNCTION("""COMPUTED_VALUE"""),"二年級")</f>
        <v>二年級</v>
      </c>
      <c r="G990" s="9" t="str">
        <f>IFERROR(__xludf.DUMMYFUNCTION("""COMPUTED_VALUE"""),"■商品卡$200")</f>
        <v>■商品卡$200</v>
      </c>
      <c r="H990" s="9"/>
    </row>
    <row r="991">
      <c r="A991" s="13" t="s">
        <v>11</v>
      </c>
      <c r="B991" s="9" t="str">
        <f>IFERROR(__xludf.DUMMYFUNCTION("""COMPUTED_VALUE"""),"范O美")</f>
        <v>范O美</v>
      </c>
      <c r="C991" s="9" t="str">
        <f>IFERROR(__xludf.DUMMYFUNCTION("""COMPUTED_VALUE"""),"a21*****14@gmail.com")</f>
        <v>a21*****14@gmail.com</v>
      </c>
      <c r="D991" s="9" t="str">
        <f>IFERROR(__xludf.DUMMYFUNCTION("""COMPUTED_VALUE"""),"國立新營高級中學")</f>
        <v>國立新營高級中學</v>
      </c>
      <c r="E991" s="9" t="str">
        <f>IFERROR(__xludf.DUMMYFUNCTION("""COMPUTED_VALUE"""),"技高")</f>
        <v>技高</v>
      </c>
      <c r="F991" s="9" t="str">
        <f>IFERROR(__xludf.DUMMYFUNCTION("""COMPUTED_VALUE"""),"二年級")</f>
        <v>二年級</v>
      </c>
      <c r="G991" s="9" t="str">
        <f>IFERROR(__xludf.DUMMYFUNCTION("""COMPUTED_VALUE"""),"獎狀")</f>
        <v>獎狀</v>
      </c>
      <c r="H991" s="9"/>
    </row>
    <row r="992">
      <c r="A992" s="13" t="s">
        <v>11</v>
      </c>
      <c r="B992" s="9" t="str">
        <f>IFERROR(__xludf.DUMMYFUNCTION("""COMPUTED_VALUE"""),"鐘O諺")</f>
        <v>鐘O諺</v>
      </c>
      <c r="C992" s="9" t="str">
        <f>IFERROR(__xludf.DUMMYFUNCTION("""COMPUTED_VALUE"""),"boy*****ng10@gmail.com")</f>
        <v>boy*****ng10@gmail.com</v>
      </c>
      <c r="D992" s="9" t="str">
        <f>IFERROR(__xludf.DUMMYFUNCTION("""COMPUTED_VALUE"""),"國立新營高級中學")</f>
        <v>國立新營高級中學</v>
      </c>
      <c r="E992" s="9" t="str">
        <f>IFERROR(__xludf.DUMMYFUNCTION("""COMPUTED_VALUE"""),"技高")</f>
        <v>技高</v>
      </c>
      <c r="F992" s="9" t="str">
        <f>IFERROR(__xludf.DUMMYFUNCTION("""COMPUTED_VALUE"""),"二年級")</f>
        <v>二年級</v>
      </c>
      <c r="G992" s="9" t="str">
        <f>IFERROR(__xludf.DUMMYFUNCTION("""COMPUTED_VALUE"""),"獎狀")</f>
        <v>獎狀</v>
      </c>
      <c r="H992" s="9"/>
    </row>
    <row r="993">
      <c r="A993" s="13" t="s">
        <v>11</v>
      </c>
      <c r="B993" s="9" t="str">
        <f>IFERROR(__xludf.DUMMYFUNCTION("""COMPUTED_VALUE"""),"吳O慧")</f>
        <v>吳O慧</v>
      </c>
      <c r="C993" s="9" t="str">
        <f>IFERROR(__xludf.DUMMYFUNCTION("""COMPUTED_VALUE"""),"st6*****0@gmail.com")</f>
        <v>st6*****0@gmail.com</v>
      </c>
      <c r="D993" s="9" t="str">
        <f>IFERROR(__xludf.DUMMYFUNCTION("""COMPUTED_VALUE"""),"國立新營高級中學")</f>
        <v>國立新營高級中學</v>
      </c>
      <c r="E993" s="9" t="str">
        <f>IFERROR(__xludf.DUMMYFUNCTION("""COMPUTED_VALUE"""),"技高")</f>
        <v>技高</v>
      </c>
      <c r="F993" s="9" t="str">
        <f>IFERROR(__xludf.DUMMYFUNCTION("""COMPUTED_VALUE"""),"二年級")</f>
        <v>二年級</v>
      </c>
      <c r="G993" s="9" t="str">
        <f>IFERROR(__xludf.DUMMYFUNCTION("""COMPUTED_VALUE"""),"獎狀")</f>
        <v>獎狀</v>
      </c>
      <c r="H993" s="9"/>
    </row>
    <row r="994">
      <c r="A994" s="13" t="s">
        <v>11</v>
      </c>
      <c r="B994" s="9" t="str">
        <f>IFERROR(__xludf.DUMMYFUNCTION("""COMPUTED_VALUE"""),"陳O蓁")</f>
        <v>陳O蓁</v>
      </c>
      <c r="C994" s="9" t="str">
        <f>IFERROR(__xludf.DUMMYFUNCTION("""COMPUTED_VALUE"""),"a09*****978@gmail.com")</f>
        <v>a09*****978@gmail.com</v>
      </c>
      <c r="D994" s="9" t="str">
        <f>IFERROR(__xludf.DUMMYFUNCTION("""COMPUTED_VALUE"""),"國立白河高級商工職業學校")</f>
        <v>國立白河高級商工職業學校</v>
      </c>
      <c r="E994" s="9" t="str">
        <f>IFERROR(__xludf.DUMMYFUNCTION("""COMPUTED_VALUE"""),"商業經營科")</f>
        <v>商業經營科</v>
      </c>
      <c r="F994" s="9" t="str">
        <f>IFERROR(__xludf.DUMMYFUNCTION("""COMPUTED_VALUE"""),"二年級")</f>
        <v>二年級</v>
      </c>
      <c r="G994" s="9" t="str">
        <f>IFERROR(__xludf.DUMMYFUNCTION("""COMPUTED_VALUE"""),"■商品卡$200")</f>
        <v>■商品卡$200</v>
      </c>
      <c r="H994" s="9"/>
    </row>
    <row r="995">
      <c r="A995" s="13" t="s">
        <v>11</v>
      </c>
      <c r="B995" s="9" t="str">
        <f>IFERROR(__xludf.DUMMYFUNCTION("""COMPUTED_VALUE"""),"黃O睿")</f>
        <v>黃O睿</v>
      </c>
      <c r="C995" s="9" t="str">
        <f>IFERROR(__xludf.DUMMYFUNCTION("""COMPUTED_VALUE"""),"st5*****9.tn@mail.edu.tw")</f>
        <v>st5*****9.tn@mail.edu.tw</v>
      </c>
      <c r="D995" s="9" t="str">
        <f>IFERROR(__xludf.DUMMYFUNCTION("""COMPUTED_VALUE"""),"高雄市私立三信高級家事商業職業學校")</f>
        <v>高雄市私立三信高級家事商業職業學校</v>
      </c>
      <c r="E995" s="9" t="str">
        <f>IFERROR(__xludf.DUMMYFUNCTION("""COMPUTED_VALUE"""),"廣告設計科")</f>
        <v>廣告設計科</v>
      </c>
      <c r="F995" s="9" t="str">
        <f>IFERROR(__xludf.DUMMYFUNCTION("""COMPUTED_VALUE"""),"一年級")</f>
        <v>一年級</v>
      </c>
      <c r="G995" s="9" t="str">
        <f>IFERROR(__xludf.DUMMYFUNCTION("""COMPUTED_VALUE"""),"■商品卡$200")</f>
        <v>■商品卡$200</v>
      </c>
      <c r="H995" s="9"/>
    </row>
    <row r="996">
      <c r="A996" s="13" t="s">
        <v>11</v>
      </c>
      <c r="B996" s="9" t="str">
        <f>IFERROR(__xludf.DUMMYFUNCTION("""COMPUTED_VALUE"""),"劉O辰")</f>
        <v>劉O辰</v>
      </c>
      <c r="C996" s="9" t="str">
        <f>IFERROR(__xludf.DUMMYFUNCTION("""COMPUTED_VALUE"""),"kik*****04@mail.edu.tw")</f>
        <v>kik*****04@mail.edu.tw</v>
      </c>
      <c r="D996" s="9" t="str">
        <f>IFERROR(__xludf.DUMMYFUNCTION("""COMPUTED_VALUE"""),"高雄市私立三信高級家事商業職業學校")</f>
        <v>高雄市私立三信高級家事商業職業學校</v>
      </c>
      <c r="E996" s="9" t="str">
        <f>IFERROR(__xludf.DUMMYFUNCTION("""COMPUTED_VALUE"""),"廣告設計科")</f>
        <v>廣告設計科</v>
      </c>
      <c r="F996" s="9" t="str">
        <f>IFERROR(__xludf.DUMMYFUNCTION("""COMPUTED_VALUE"""),"一年級")</f>
        <v>一年級</v>
      </c>
      <c r="G996" s="9" t="str">
        <f>IFERROR(__xludf.DUMMYFUNCTION("""COMPUTED_VALUE"""),"獎狀")</f>
        <v>獎狀</v>
      </c>
      <c r="H996" s="9"/>
    </row>
    <row r="997">
      <c r="A997" s="13" t="s">
        <v>11</v>
      </c>
      <c r="B997" s="9" t="str">
        <f>IFERROR(__xludf.DUMMYFUNCTION("""COMPUTED_VALUE"""),"馮O蓁")</f>
        <v>馮O蓁</v>
      </c>
      <c r="C997" s="9" t="str">
        <f>IFERROR(__xludf.DUMMYFUNCTION("""COMPUTED_VALUE"""),"ori*****918@gmail.com")</f>
        <v>ori*****918@gmail.com</v>
      </c>
      <c r="D997" s="9" t="str">
        <f>IFERROR(__xludf.DUMMYFUNCTION("""COMPUTED_VALUE"""),"高雄市私立三信高級家事商業職業學校")</f>
        <v>高雄市私立三信高級家事商業職業學校</v>
      </c>
      <c r="E997" s="9" t="str">
        <f>IFERROR(__xludf.DUMMYFUNCTION("""COMPUTED_VALUE"""),"應日科")</f>
        <v>應日科</v>
      </c>
      <c r="F997" s="9" t="str">
        <f>IFERROR(__xludf.DUMMYFUNCTION("""COMPUTED_VALUE"""),"三年級")</f>
        <v>三年級</v>
      </c>
      <c r="G997" s="9" t="str">
        <f>IFERROR(__xludf.DUMMYFUNCTION("""COMPUTED_VALUE"""),"獎狀")</f>
        <v>獎狀</v>
      </c>
      <c r="H997" s="9"/>
    </row>
    <row r="998">
      <c r="A998" s="13" t="s">
        <v>11</v>
      </c>
      <c r="B998" s="9" t="str">
        <f>IFERROR(__xludf.DUMMYFUNCTION("""COMPUTED_VALUE"""),"涂O云")</f>
        <v>涂O云</v>
      </c>
      <c r="C998" s="9" t="str">
        <f>IFERROR(__xludf.DUMMYFUNCTION("""COMPUTED_VALUE"""),"s33*****7@student.ksvs.kh.edu.tw")</f>
        <v>s33*****7@student.ksvs.kh.edu.tw</v>
      </c>
      <c r="D998" s="9" t="str">
        <f>IFERROR(__xludf.DUMMYFUNCTION("""COMPUTED_VALUE"""),"高雄市立高雄高級工業職業學校")</f>
        <v>高雄市立高雄高級工業職業學校</v>
      </c>
      <c r="E998" s="9" t="str">
        <f>IFERROR(__xludf.DUMMYFUNCTION("""COMPUTED_VALUE"""),"化工科")</f>
        <v>化工科</v>
      </c>
      <c r="F998" s="9" t="str">
        <f>IFERROR(__xludf.DUMMYFUNCTION("""COMPUTED_VALUE"""),"二年級")</f>
        <v>二年級</v>
      </c>
      <c r="G998" s="9" t="str">
        <f>IFERROR(__xludf.DUMMYFUNCTION("""COMPUTED_VALUE"""),"獎狀")</f>
        <v>獎狀</v>
      </c>
      <c r="H998" s="9"/>
    </row>
    <row r="999">
      <c r="A999" s="13" t="s">
        <v>11</v>
      </c>
      <c r="B999" s="9" t="str">
        <f>IFERROR(__xludf.DUMMYFUNCTION("""COMPUTED_VALUE"""),"鐘O禎")</f>
        <v>鐘O禎</v>
      </c>
      <c r="C999" s="9" t="str">
        <f>IFERROR(__xludf.DUMMYFUNCTION("""COMPUTED_VALUE"""),"s33*****3@student.ksvs.kh.edu.tw")</f>
        <v>s33*****3@student.ksvs.kh.edu.tw</v>
      </c>
      <c r="D999" s="9" t="str">
        <f>IFERROR(__xludf.DUMMYFUNCTION("""COMPUTED_VALUE"""),"高雄市立高雄高級工業職業學校")</f>
        <v>高雄市立高雄高級工業職業學校</v>
      </c>
      <c r="E999" s="9" t="str">
        <f>IFERROR(__xludf.DUMMYFUNCTION("""COMPUTED_VALUE"""),"化工科")</f>
        <v>化工科</v>
      </c>
      <c r="F999" s="9" t="str">
        <f>IFERROR(__xludf.DUMMYFUNCTION("""COMPUTED_VALUE"""),"二年級")</f>
        <v>二年級</v>
      </c>
      <c r="G999" s="9" t="str">
        <f>IFERROR(__xludf.DUMMYFUNCTION("""COMPUTED_VALUE"""),"■商品卡$200")</f>
        <v>■商品卡$200</v>
      </c>
      <c r="H999" s="9"/>
    </row>
    <row r="1000">
      <c r="A1000" s="13" t="s">
        <v>11</v>
      </c>
      <c r="B1000" s="9" t="str">
        <f>IFERROR(__xludf.DUMMYFUNCTION("""COMPUTED_VALUE"""),"衛O安")</f>
        <v>衛O安</v>
      </c>
      <c r="C1000" s="9" t="str">
        <f>IFERROR(__xludf.DUMMYFUNCTION("""COMPUTED_VALUE"""),"s33*****1@student.ksvs.kh.edu.tw")</f>
        <v>s33*****1@student.ksvs.kh.edu.tw</v>
      </c>
      <c r="D1000" s="9" t="str">
        <f>IFERROR(__xludf.DUMMYFUNCTION("""COMPUTED_VALUE"""),"高雄市立高雄高級工業職業學校")</f>
        <v>高雄市立高雄高級工業職業學校</v>
      </c>
      <c r="E1000" s="9" t="str">
        <f>IFERROR(__xludf.DUMMYFUNCTION("""COMPUTED_VALUE"""),"化工科")</f>
        <v>化工科</v>
      </c>
      <c r="F1000" s="9" t="str">
        <f>IFERROR(__xludf.DUMMYFUNCTION("""COMPUTED_VALUE"""),"二年級")</f>
        <v>二年級</v>
      </c>
      <c r="G1000" s="9" t="str">
        <f>IFERROR(__xludf.DUMMYFUNCTION("""COMPUTED_VALUE"""),"■商品卡$200")</f>
        <v>■商品卡$200</v>
      </c>
      <c r="H1000" s="9"/>
    </row>
    <row r="1001">
      <c r="A1001" s="13" t="s">
        <v>11</v>
      </c>
      <c r="B1001" s="9" t="str">
        <f>IFERROR(__xludf.DUMMYFUNCTION("""COMPUTED_VALUE"""),"朱O睿")</f>
        <v>朱O睿</v>
      </c>
      <c r="C1001" s="9" t="str">
        <f>IFERROR(__xludf.DUMMYFUNCTION("""COMPUTED_VALUE"""),"s33*****2@student.ksvs.kh.edu.tw")</f>
        <v>s33*****2@student.ksvs.kh.edu.tw</v>
      </c>
      <c r="D1001" s="9" t="str">
        <f>IFERROR(__xludf.DUMMYFUNCTION("""COMPUTED_VALUE"""),"高雄市立高雄高級工業職業學校")</f>
        <v>高雄市立高雄高級工業職業學校</v>
      </c>
      <c r="E1001" s="9" t="str">
        <f>IFERROR(__xludf.DUMMYFUNCTION("""COMPUTED_VALUE"""),"化工科")</f>
        <v>化工科</v>
      </c>
      <c r="F1001" s="9" t="str">
        <f>IFERROR(__xludf.DUMMYFUNCTION("""COMPUTED_VALUE"""),"二年級")</f>
        <v>二年級</v>
      </c>
      <c r="G1001" s="9" t="str">
        <f>IFERROR(__xludf.DUMMYFUNCTION("""COMPUTED_VALUE"""),"獎狀")</f>
        <v>獎狀</v>
      </c>
      <c r="H1001" s="9"/>
    </row>
    <row r="1002">
      <c r="A1002" s="13" t="s">
        <v>11</v>
      </c>
      <c r="B1002" s="9" t="str">
        <f>IFERROR(__xludf.DUMMYFUNCTION("""COMPUTED_VALUE"""),"陳O允")</f>
        <v>陳O允</v>
      </c>
      <c r="C1002" s="9" t="str">
        <f>IFERROR(__xludf.DUMMYFUNCTION("""COMPUTED_VALUE"""),"s33*****9@student.ksvs.kh.edu.tw")</f>
        <v>s33*****9@student.ksvs.kh.edu.tw</v>
      </c>
      <c r="D1002" s="9" t="str">
        <f>IFERROR(__xludf.DUMMYFUNCTION("""COMPUTED_VALUE"""),"高雄市立高雄高級工業職業學校")</f>
        <v>高雄市立高雄高級工業職業學校</v>
      </c>
      <c r="E1002" s="9" t="str">
        <f>IFERROR(__xludf.DUMMYFUNCTION("""COMPUTED_VALUE"""),"化工科")</f>
        <v>化工科</v>
      </c>
      <c r="F1002" s="9" t="str">
        <f>IFERROR(__xludf.DUMMYFUNCTION("""COMPUTED_VALUE"""),"二年級")</f>
        <v>二年級</v>
      </c>
      <c r="G1002" s="9" t="str">
        <f>IFERROR(__xludf.DUMMYFUNCTION("""COMPUTED_VALUE"""),"獎狀")</f>
        <v>獎狀</v>
      </c>
      <c r="H1002" s="9"/>
    </row>
    <row r="1003">
      <c r="A1003" s="13" t="s">
        <v>11</v>
      </c>
      <c r="B1003" s="9" t="str">
        <f>IFERROR(__xludf.DUMMYFUNCTION("""COMPUTED_VALUE"""),"陳O潔")</f>
        <v>陳O潔</v>
      </c>
      <c r="C1003" s="9" t="str">
        <f>IFERROR(__xludf.DUMMYFUNCTION("""COMPUTED_VALUE"""),"s33*****8@student.ksvs.kh.edu.tw")</f>
        <v>s33*****8@student.ksvs.kh.edu.tw</v>
      </c>
      <c r="D1003" s="9" t="str">
        <f>IFERROR(__xludf.DUMMYFUNCTION("""COMPUTED_VALUE"""),"高雄市立高雄高級工業職業學校")</f>
        <v>高雄市立高雄高級工業職業學校</v>
      </c>
      <c r="E1003" s="9" t="str">
        <f>IFERROR(__xludf.DUMMYFUNCTION("""COMPUTED_VALUE"""),"化工科")</f>
        <v>化工科</v>
      </c>
      <c r="F1003" s="9" t="str">
        <f>IFERROR(__xludf.DUMMYFUNCTION("""COMPUTED_VALUE"""),"二年級")</f>
        <v>二年級</v>
      </c>
      <c r="G1003" s="9" t="str">
        <f>IFERROR(__xludf.DUMMYFUNCTION("""COMPUTED_VALUE"""),"獎狀")</f>
        <v>獎狀</v>
      </c>
      <c r="H1003" s="9"/>
    </row>
    <row r="1004">
      <c r="A1004" s="13" t="s">
        <v>11</v>
      </c>
      <c r="B1004" s="9" t="str">
        <f>IFERROR(__xludf.DUMMYFUNCTION("""COMPUTED_VALUE"""),"許O瑄")</f>
        <v>許O瑄</v>
      </c>
      <c r="C1004" s="9" t="str">
        <f>IFERROR(__xludf.DUMMYFUNCTION("""COMPUTED_VALUE"""),"217*****mhjh.kh.edu.tw")</f>
        <v>217*****mhjh.kh.edu.tw</v>
      </c>
      <c r="D1004" s="9" t="str">
        <f>IFERROR(__xludf.DUMMYFUNCTION("""COMPUTED_VALUE"""),"國立高雄餐旅大學附屬餐旅高級中等學校")</f>
        <v>國立高雄餐旅大學附屬餐旅高級中等學校</v>
      </c>
      <c r="E1004" s="9" t="str">
        <f>IFERROR(__xludf.DUMMYFUNCTION("""COMPUTED_VALUE"""),"觀光科")</f>
        <v>觀光科</v>
      </c>
      <c r="F1004" s="9" t="str">
        <f>IFERROR(__xludf.DUMMYFUNCTION("""COMPUTED_VALUE"""),"三年級")</f>
        <v>三年級</v>
      </c>
      <c r="G1004" s="9" t="str">
        <f>IFERROR(__xludf.DUMMYFUNCTION("""COMPUTED_VALUE"""),"獎狀")</f>
        <v>獎狀</v>
      </c>
      <c r="H1004" s="9"/>
    </row>
    <row r="1005">
      <c r="A1005" s="13" t="s">
        <v>11</v>
      </c>
      <c r="B1005" s="9" t="str">
        <f>IFERROR(__xludf.DUMMYFUNCTION("""COMPUTED_VALUE"""),"黃O誼")</f>
        <v>黃O誼</v>
      </c>
      <c r="C1005" s="9" t="str">
        <f>IFERROR(__xludf.DUMMYFUNCTION("""COMPUTED_VALUE"""),"113*****@stu.smvhs.kh.edu.tw")</f>
        <v>113*****@stu.smvhs.kh.edu.tw</v>
      </c>
      <c r="D1005" s="9" t="str">
        <f>IFERROR(__xludf.DUMMYFUNCTION("""COMPUTED_VALUE"""),"高雄市立三民高級家事商業職業學校")</f>
        <v>高雄市立三民高級家事商業職業學校</v>
      </c>
      <c r="E1005" s="9" t="str">
        <f>IFERROR(__xludf.DUMMYFUNCTION("""COMPUTED_VALUE"""),"室內設計")</f>
        <v>室內設計</v>
      </c>
      <c r="F1005" s="9" t="str">
        <f>IFERROR(__xludf.DUMMYFUNCTION("""COMPUTED_VALUE"""),"二年級")</f>
        <v>二年級</v>
      </c>
      <c r="G1005" s="9" t="str">
        <f>IFERROR(__xludf.DUMMYFUNCTION("""COMPUTED_VALUE"""),"獎狀")</f>
        <v>獎狀</v>
      </c>
      <c r="H1005" s="9"/>
    </row>
    <row r="1006">
      <c r="A1006" s="13" t="s">
        <v>11</v>
      </c>
      <c r="B1006" s="9" t="str">
        <f>IFERROR(__xludf.DUMMYFUNCTION("""COMPUTED_VALUE"""),"侯O菻")</f>
        <v>侯O菻</v>
      </c>
      <c r="C1006" s="9" t="str">
        <f>IFERROR(__xludf.DUMMYFUNCTION("""COMPUTED_VALUE"""),"lin*****20503@gmail.com")</f>
        <v>lin*****20503@gmail.com</v>
      </c>
      <c r="D1006" s="9" t="str">
        <f>IFERROR(__xludf.DUMMYFUNCTION("""COMPUTED_VALUE"""),"高雄市立三民高級家事商業職業學校")</f>
        <v>高雄市立三民高級家事商業職業學校</v>
      </c>
      <c r="E1006" s="9" t="str">
        <f>IFERROR(__xludf.DUMMYFUNCTION("""COMPUTED_VALUE"""),"室內設計科")</f>
        <v>室內設計科</v>
      </c>
      <c r="F1006" s="9" t="str">
        <f>IFERROR(__xludf.DUMMYFUNCTION("""COMPUTED_VALUE"""),"一年級")</f>
        <v>一年級</v>
      </c>
      <c r="G1006" s="9" t="str">
        <f>IFERROR(__xludf.DUMMYFUNCTION("""COMPUTED_VALUE"""),"獎狀")</f>
        <v>獎狀</v>
      </c>
      <c r="H1006" s="11"/>
    </row>
    <row r="1007">
      <c r="A1007" s="13" t="s">
        <v>11</v>
      </c>
      <c r="B1007" s="9" t="str">
        <f>IFERROR(__xludf.DUMMYFUNCTION("""COMPUTED_VALUE"""),"莊O宸")</f>
        <v>莊O宸</v>
      </c>
      <c r="C1007" s="9" t="str">
        <f>IFERROR(__xludf.DUMMYFUNCTION("""COMPUTED_VALUE"""),"113*****@stu.smvhs.kh.edu.tw")</f>
        <v>113*****@stu.smvhs.kh.edu.tw</v>
      </c>
      <c r="D1007" s="9" t="str">
        <f>IFERROR(__xludf.DUMMYFUNCTION("""COMPUTED_VALUE"""),"高雄市立三民高級家事商業職業學校")</f>
        <v>高雄市立三民高級家事商業職業學校</v>
      </c>
      <c r="E1007" s="9" t="str">
        <f>IFERROR(__xludf.DUMMYFUNCTION("""COMPUTED_VALUE"""),"室內設計科")</f>
        <v>室內設計科</v>
      </c>
      <c r="F1007" s="9" t="str">
        <f>IFERROR(__xludf.DUMMYFUNCTION("""COMPUTED_VALUE"""),"一年級")</f>
        <v>一年級</v>
      </c>
      <c r="G1007" s="9" t="str">
        <f>IFERROR(__xludf.DUMMYFUNCTION("""COMPUTED_VALUE"""),"★商品卡$1000")</f>
        <v>★商品卡$1000</v>
      </c>
      <c r="H1007" s="9"/>
    </row>
    <row r="1008">
      <c r="A1008" s="13" t="s">
        <v>11</v>
      </c>
      <c r="B1008" s="9" t="str">
        <f>IFERROR(__xludf.DUMMYFUNCTION("""COMPUTED_VALUE"""),"謝O蓁")</f>
        <v>謝O蓁</v>
      </c>
      <c r="C1008" s="9" t="str">
        <f>IFERROR(__xludf.DUMMYFUNCTION("""COMPUTED_VALUE"""),"113*****@stu.smvhs.kh.edu.tw")</f>
        <v>113*****@stu.smvhs.kh.edu.tw</v>
      </c>
      <c r="D1008" s="9" t="str">
        <f>IFERROR(__xludf.DUMMYFUNCTION("""COMPUTED_VALUE"""),"高雄市立三民高級家事商業職業學校")</f>
        <v>高雄市立三民高級家事商業職業學校</v>
      </c>
      <c r="E1008" s="9" t="str">
        <f>IFERROR(__xludf.DUMMYFUNCTION("""COMPUTED_VALUE"""),"室內設計科")</f>
        <v>室內設計科</v>
      </c>
      <c r="F1008" s="9" t="str">
        <f>IFERROR(__xludf.DUMMYFUNCTION("""COMPUTED_VALUE"""),"一年級")</f>
        <v>一年級</v>
      </c>
      <c r="G1008" s="9" t="str">
        <f>IFERROR(__xludf.DUMMYFUNCTION("""COMPUTED_VALUE"""),"○商品卡$500")</f>
        <v>○商品卡$500</v>
      </c>
      <c r="H1008" s="9"/>
    </row>
    <row r="1009">
      <c r="A1009" s="13" t="s">
        <v>11</v>
      </c>
      <c r="B1009" s="9" t="str">
        <f>IFERROR(__xludf.DUMMYFUNCTION("""COMPUTED_VALUE"""),"曾O絜")</f>
        <v>曾O絜</v>
      </c>
      <c r="C1009" s="9" t="str">
        <f>IFERROR(__xludf.DUMMYFUNCTION("""COMPUTED_VALUE"""),"113*****@stu.smvhs.kh.edu.tw")</f>
        <v>113*****@stu.smvhs.kh.edu.tw</v>
      </c>
      <c r="D1009" s="9" t="str">
        <f>IFERROR(__xludf.DUMMYFUNCTION("""COMPUTED_VALUE"""),"高雄市立三民高級家事商業職業學校")</f>
        <v>高雄市立三民高級家事商業職業學校</v>
      </c>
      <c r="E1009" s="9" t="str">
        <f>IFERROR(__xludf.DUMMYFUNCTION("""COMPUTED_VALUE"""),"室內設計科")</f>
        <v>室內設計科</v>
      </c>
      <c r="F1009" s="9" t="str">
        <f>IFERROR(__xludf.DUMMYFUNCTION("""COMPUTED_VALUE"""),"一年級")</f>
        <v>一年級</v>
      </c>
      <c r="G1009" s="9" t="str">
        <f>IFERROR(__xludf.DUMMYFUNCTION("""COMPUTED_VALUE"""),"獎狀")</f>
        <v>獎狀</v>
      </c>
      <c r="H1009" s="9"/>
    </row>
    <row r="1010">
      <c r="A1010" s="13" t="s">
        <v>11</v>
      </c>
      <c r="B1010" s="9" t="str">
        <f>IFERROR(__xludf.DUMMYFUNCTION("""COMPUTED_VALUE"""),"鄭O")</f>
        <v>鄭O</v>
      </c>
      <c r="C1010" s="9" t="str">
        <f>IFERROR(__xludf.DUMMYFUNCTION("""COMPUTED_VALUE"""),"113*****@stu.smvhs.kh.edu.tw")</f>
        <v>113*****@stu.smvhs.kh.edu.tw</v>
      </c>
      <c r="D1010" s="9" t="str">
        <f>IFERROR(__xludf.DUMMYFUNCTION("""COMPUTED_VALUE"""),"高雄市立三民高級家事商業職業學校")</f>
        <v>高雄市立三民高級家事商業職業學校</v>
      </c>
      <c r="E1010" s="9" t="str">
        <f>IFERROR(__xludf.DUMMYFUNCTION("""COMPUTED_VALUE"""),"室內設計科")</f>
        <v>室內設計科</v>
      </c>
      <c r="F1010" s="9" t="str">
        <f>IFERROR(__xludf.DUMMYFUNCTION("""COMPUTED_VALUE"""),"一年級")</f>
        <v>一年級</v>
      </c>
      <c r="G1010" s="9" t="str">
        <f>IFERROR(__xludf.DUMMYFUNCTION("""COMPUTED_VALUE"""),"獎狀")</f>
        <v>獎狀</v>
      </c>
      <c r="H1010" s="9"/>
    </row>
    <row r="1011">
      <c r="A1011" s="13" t="s">
        <v>11</v>
      </c>
      <c r="B1011" s="9" t="str">
        <f>IFERROR(__xludf.DUMMYFUNCTION("""COMPUTED_VALUE"""),"朱O靚")</f>
        <v>朱O靚</v>
      </c>
      <c r="C1011" s="9" t="str">
        <f>IFERROR(__xludf.DUMMYFUNCTION("""COMPUTED_VALUE"""),"113*****@stu.smvhs.kh.edu.tw")</f>
        <v>113*****@stu.smvhs.kh.edu.tw</v>
      </c>
      <c r="D1011" s="9" t="str">
        <f>IFERROR(__xludf.DUMMYFUNCTION("""COMPUTED_VALUE"""),"高雄市立三民高級家事商業職業學校")</f>
        <v>高雄市立三民高級家事商業職業學校</v>
      </c>
      <c r="E1011" s="9" t="str">
        <f>IFERROR(__xludf.DUMMYFUNCTION("""COMPUTED_VALUE"""),"室內設計科")</f>
        <v>室內設計科</v>
      </c>
      <c r="F1011" s="9" t="str">
        <f>IFERROR(__xludf.DUMMYFUNCTION("""COMPUTED_VALUE"""),"一年級")</f>
        <v>一年級</v>
      </c>
      <c r="G1011" s="9" t="str">
        <f>IFERROR(__xludf.DUMMYFUNCTION("""COMPUTED_VALUE"""),"獎狀")</f>
        <v>獎狀</v>
      </c>
      <c r="H1011" s="9"/>
    </row>
    <row r="1012">
      <c r="A1012" s="13" t="s">
        <v>11</v>
      </c>
      <c r="B1012" s="9" t="str">
        <f>IFERROR(__xludf.DUMMYFUNCTION("""COMPUTED_VALUE"""),"鄭O芝")</f>
        <v>鄭O芝</v>
      </c>
      <c r="C1012" s="9" t="str">
        <f>IFERROR(__xludf.DUMMYFUNCTION("""COMPUTED_VALUE"""),"113*****@stu.smvhs.kh.edu.tw")</f>
        <v>113*****@stu.smvhs.kh.edu.tw</v>
      </c>
      <c r="D1012" s="9" t="str">
        <f>IFERROR(__xludf.DUMMYFUNCTION("""COMPUTED_VALUE"""),"高雄市立三民高級家事商業職業學校")</f>
        <v>高雄市立三民高級家事商業職業學校</v>
      </c>
      <c r="E1012" s="9" t="str">
        <f>IFERROR(__xludf.DUMMYFUNCTION("""COMPUTED_VALUE"""),"室內設計科")</f>
        <v>室內設計科</v>
      </c>
      <c r="F1012" s="9" t="str">
        <f>IFERROR(__xludf.DUMMYFUNCTION("""COMPUTED_VALUE"""),"二年級")</f>
        <v>二年級</v>
      </c>
      <c r="G1012" s="9" t="str">
        <f>IFERROR(__xludf.DUMMYFUNCTION("""COMPUTED_VALUE"""),"獎狀")</f>
        <v>獎狀</v>
      </c>
      <c r="H1012" s="9"/>
    </row>
    <row r="1013">
      <c r="A1013" s="13" t="s">
        <v>11</v>
      </c>
      <c r="B1013" s="9" t="str">
        <f>IFERROR(__xludf.DUMMYFUNCTION("""COMPUTED_VALUE"""),"陳O蓉")</f>
        <v>陳O蓉</v>
      </c>
      <c r="C1013" s="9" t="str">
        <f>IFERROR(__xludf.DUMMYFUNCTION("""COMPUTED_VALUE"""),"113*****@stu.smvhs.kh.edu.tw")</f>
        <v>113*****@stu.smvhs.kh.edu.tw</v>
      </c>
      <c r="D1013" s="9" t="str">
        <f>IFERROR(__xludf.DUMMYFUNCTION("""COMPUTED_VALUE"""),"高雄市立三民高級家事商業職業學校")</f>
        <v>高雄市立三民高級家事商業職業學校</v>
      </c>
      <c r="E1013" s="9" t="str">
        <f>IFERROR(__xludf.DUMMYFUNCTION("""COMPUTED_VALUE"""),"室內設計科")</f>
        <v>室內設計科</v>
      </c>
      <c r="F1013" s="9" t="str">
        <f>IFERROR(__xludf.DUMMYFUNCTION("""COMPUTED_VALUE"""),"二年級")</f>
        <v>二年級</v>
      </c>
      <c r="G1013" s="9" t="str">
        <f>IFERROR(__xludf.DUMMYFUNCTION("""COMPUTED_VALUE"""),"獎狀")</f>
        <v>獎狀</v>
      </c>
      <c r="H1013" s="9"/>
    </row>
    <row r="1014">
      <c r="A1014" s="13" t="s">
        <v>11</v>
      </c>
      <c r="B1014" s="9" t="str">
        <f>IFERROR(__xludf.DUMMYFUNCTION("""COMPUTED_VALUE"""),"康O薰")</f>
        <v>康O薰</v>
      </c>
      <c r="C1014" s="9" t="str">
        <f>IFERROR(__xludf.DUMMYFUNCTION("""COMPUTED_VALUE"""),"113*****@stu.smvhs.kh.edu.tw")</f>
        <v>113*****@stu.smvhs.kh.edu.tw</v>
      </c>
      <c r="D1014" s="9" t="str">
        <f>IFERROR(__xludf.DUMMYFUNCTION("""COMPUTED_VALUE"""),"高雄市立三民高級家事商業職業學校")</f>
        <v>高雄市立三民高級家事商業職業學校</v>
      </c>
      <c r="E1014" s="9" t="str">
        <f>IFERROR(__xludf.DUMMYFUNCTION("""COMPUTED_VALUE"""),"室內設計科")</f>
        <v>室內設計科</v>
      </c>
      <c r="F1014" s="9" t="str">
        <f>IFERROR(__xludf.DUMMYFUNCTION("""COMPUTED_VALUE"""),"二年級")</f>
        <v>二年級</v>
      </c>
      <c r="G1014" s="9" t="str">
        <f>IFERROR(__xludf.DUMMYFUNCTION("""COMPUTED_VALUE"""),"★商品卡$1000")</f>
        <v>★商品卡$1000</v>
      </c>
      <c r="H1014" s="9"/>
    </row>
    <row r="1015">
      <c r="A1015" s="13" t="s">
        <v>11</v>
      </c>
      <c r="B1015" s="9" t="str">
        <f>IFERROR(__xludf.DUMMYFUNCTION("""COMPUTED_VALUE"""),"董O芳")</f>
        <v>董O芳</v>
      </c>
      <c r="C1015" s="9" t="str">
        <f>IFERROR(__xludf.DUMMYFUNCTION("""COMPUTED_VALUE"""),"113*****@stu.smvhs.kh.edu.tw")</f>
        <v>113*****@stu.smvhs.kh.edu.tw</v>
      </c>
      <c r="D1015" s="9" t="str">
        <f>IFERROR(__xludf.DUMMYFUNCTION("""COMPUTED_VALUE"""),"高雄市立三民高級家事商業職業學校")</f>
        <v>高雄市立三民高級家事商業職業學校</v>
      </c>
      <c r="E1015" s="9" t="str">
        <f>IFERROR(__xludf.DUMMYFUNCTION("""COMPUTED_VALUE"""),"室內設計科")</f>
        <v>室內設計科</v>
      </c>
      <c r="F1015" s="9" t="str">
        <f>IFERROR(__xludf.DUMMYFUNCTION("""COMPUTED_VALUE"""),"二年級")</f>
        <v>二年級</v>
      </c>
      <c r="G1015" s="9" t="str">
        <f>IFERROR(__xludf.DUMMYFUNCTION("""COMPUTED_VALUE"""),"獎狀")</f>
        <v>獎狀</v>
      </c>
      <c r="H1015" s="9"/>
    </row>
    <row r="1016">
      <c r="A1016" s="13" t="s">
        <v>11</v>
      </c>
      <c r="B1016" s="9" t="str">
        <f>IFERROR(__xludf.DUMMYFUNCTION("""COMPUTED_VALUE"""),"林O萱")</f>
        <v>林O萱</v>
      </c>
      <c r="C1016" s="9" t="str">
        <f>IFERROR(__xludf.DUMMYFUNCTION("""COMPUTED_VALUE"""),"113*****@stu.smvhs.kh.edu.tw")</f>
        <v>113*****@stu.smvhs.kh.edu.tw</v>
      </c>
      <c r="D1016" s="9" t="str">
        <f>IFERROR(__xludf.DUMMYFUNCTION("""COMPUTED_VALUE"""),"高雄市立三民高級家事商業職業學校")</f>
        <v>高雄市立三民高級家事商業職業學校</v>
      </c>
      <c r="E1016" s="9" t="str">
        <f>IFERROR(__xludf.DUMMYFUNCTION("""COMPUTED_VALUE"""),"室內設計科")</f>
        <v>室內設計科</v>
      </c>
      <c r="F1016" s="9" t="str">
        <f>IFERROR(__xludf.DUMMYFUNCTION("""COMPUTED_VALUE"""),"二年級")</f>
        <v>二年級</v>
      </c>
      <c r="G1016" s="9" t="str">
        <f>IFERROR(__xludf.DUMMYFUNCTION("""COMPUTED_VALUE"""),"獎狀")</f>
        <v>獎狀</v>
      </c>
      <c r="H1016" s="9"/>
    </row>
    <row r="1017">
      <c r="A1017" s="13" t="s">
        <v>11</v>
      </c>
      <c r="B1017" s="9" t="str">
        <f>IFERROR(__xludf.DUMMYFUNCTION("""COMPUTED_VALUE"""),"朱O瑄")</f>
        <v>朱O瑄</v>
      </c>
      <c r="C1017" s="9" t="str">
        <f>IFERROR(__xludf.DUMMYFUNCTION("""COMPUTED_VALUE"""),"113*****@stu.smvhs.kh.edu.tw")</f>
        <v>113*****@stu.smvhs.kh.edu.tw</v>
      </c>
      <c r="D1017" s="9" t="str">
        <f>IFERROR(__xludf.DUMMYFUNCTION("""COMPUTED_VALUE"""),"高雄市立三民高級家事商業職業學校")</f>
        <v>高雄市立三民高級家事商業職業學校</v>
      </c>
      <c r="E1017" s="9" t="str">
        <f>IFERROR(__xludf.DUMMYFUNCTION("""COMPUTED_VALUE"""),"室內設計科")</f>
        <v>室內設計科</v>
      </c>
      <c r="F1017" s="9" t="str">
        <f>IFERROR(__xludf.DUMMYFUNCTION("""COMPUTED_VALUE"""),"二年級")</f>
        <v>二年級</v>
      </c>
      <c r="G1017" s="9" t="str">
        <f>IFERROR(__xludf.DUMMYFUNCTION("""COMPUTED_VALUE"""),"★商品卡$1000")</f>
        <v>★商品卡$1000</v>
      </c>
      <c r="H1017" s="9"/>
    </row>
    <row r="1018">
      <c r="A1018" s="13" t="s">
        <v>11</v>
      </c>
      <c r="B1018" s="9" t="str">
        <f>IFERROR(__xludf.DUMMYFUNCTION("""COMPUTED_VALUE"""),"林O丞")</f>
        <v>林O丞</v>
      </c>
      <c r="C1018" s="9" t="str">
        <f>IFERROR(__xludf.DUMMYFUNCTION("""COMPUTED_VALUE"""),"113*****@stu.smvhs.kh.edu.tw")</f>
        <v>113*****@stu.smvhs.kh.edu.tw</v>
      </c>
      <c r="D1018" s="9" t="str">
        <f>IFERROR(__xludf.DUMMYFUNCTION("""COMPUTED_VALUE"""),"高雄市立三民高級家事商業職業學校")</f>
        <v>高雄市立三民高級家事商業職業學校</v>
      </c>
      <c r="E1018" s="9" t="str">
        <f>IFERROR(__xludf.DUMMYFUNCTION("""COMPUTED_VALUE"""),"室設科")</f>
        <v>室設科</v>
      </c>
      <c r="F1018" s="9" t="str">
        <f>IFERROR(__xludf.DUMMYFUNCTION("""COMPUTED_VALUE"""),"二年級")</f>
        <v>二年級</v>
      </c>
      <c r="G1018" s="9" t="str">
        <f>IFERROR(__xludf.DUMMYFUNCTION("""COMPUTED_VALUE"""),"獎狀")</f>
        <v>獎狀</v>
      </c>
      <c r="H1018" s="9"/>
    </row>
    <row r="1019">
      <c r="A1019" s="13" t="s">
        <v>11</v>
      </c>
      <c r="B1019" s="9" t="str">
        <f>IFERROR(__xludf.DUMMYFUNCTION("""COMPUTED_VALUE"""),"鄭O宜")</f>
        <v>鄭O宜</v>
      </c>
      <c r="C1019" s="9" t="str">
        <f>IFERROR(__xludf.DUMMYFUNCTION("""COMPUTED_VALUE"""),"113*****@stu.smvhs.kh.edu.tw")</f>
        <v>113*****@stu.smvhs.kh.edu.tw</v>
      </c>
      <c r="D1019" s="9" t="str">
        <f>IFERROR(__xludf.DUMMYFUNCTION("""COMPUTED_VALUE"""),"高雄市立三民高級家事商業職業學校")</f>
        <v>高雄市立三民高級家事商業職業學校</v>
      </c>
      <c r="E1019" s="9" t="str">
        <f>IFERROR(__xludf.DUMMYFUNCTION("""COMPUTED_VALUE"""),"室設科")</f>
        <v>室設科</v>
      </c>
      <c r="F1019" s="9" t="str">
        <f>IFERROR(__xludf.DUMMYFUNCTION("""COMPUTED_VALUE"""),"二年級")</f>
        <v>二年級</v>
      </c>
      <c r="G1019" s="9" t="str">
        <f>IFERROR(__xludf.DUMMYFUNCTION("""COMPUTED_VALUE"""),"★商品卡$1000")</f>
        <v>★商品卡$1000</v>
      </c>
      <c r="H1019" s="9"/>
    </row>
    <row r="1020">
      <c r="A1020" s="13" t="s">
        <v>11</v>
      </c>
      <c r="B1020" s="9" t="str">
        <f>IFERROR(__xludf.DUMMYFUNCTION("""COMPUTED_VALUE"""),"蘇O加")</f>
        <v>蘇O加</v>
      </c>
      <c r="C1020" s="9" t="str">
        <f>IFERROR(__xludf.DUMMYFUNCTION("""COMPUTED_VALUE"""),"113*****@stu.smvhs.kh.edu.tw")</f>
        <v>113*****@stu.smvhs.kh.edu.tw</v>
      </c>
      <c r="D1020" s="9" t="str">
        <f>IFERROR(__xludf.DUMMYFUNCTION("""COMPUTED_VALUE"""),"高雄市立三民高級家事商業職業學校")</f>
        <v>高雄市立三民高級家事商業職業學校</v>
      </c>
      <c r="E1020" s="9" t="str">
        <f>IFERROR(__xludf.DUMMYFUNCTION("""COMPUTED_VALUE"""),"室設科")</f>
        <v>室設科</v>
      </c>
      <c r="F1020" s="9" t="str">
        <f>IFERROR(__xludf.DUMMYFUNCTION("""COMPUTED_VALUE"""),"二年級")</f>
        <v>二年級</v>
      </c>
      <c r="G1020" s="9" t="str">
        <f>IFERROR(__xludf.DUMMYFUNCTION("""COMPUTED_VALUE"""),"獎狀")</f>
        <v>獎狀</v>
      </c>
      <c r="H1020" s="9"/>
    </row>
    <row r="1021">
      <c r="A1021" s="13" t="s">
        <v>11</v>
      </c>
      <c r="B1021" s="9" t="str">
        <f>IFERROR(__xludf.DUMMYFUNCTION("""COMPUTED_VALUE"""),"邱O煒")</f>
        <v>邱O煒</v>
      </c>
      <c r="C1021" s="9" t="str">
        <f>IFERROR(__xludf.DUMMYFUNCTION("""COMPUTED_VALUE"""),"113*****@stu.smvhs.kh.edu.tw")</f>
        <v>113*****@stu.smvhs.kh.edu.tw</v>
      </c>
      <c r="D1021" s="9" t="str">
        <f>IFERROR(__xludf.DUMMYFUNCTION("""COMPUTED_VALUE"""),"高雄市立三民高級家事商業職業學校")</f>
        <v>高雄市立三民高級家事商業職業學校</v>
      </c>
      <c r="E1021" s="9" t="str">
        <f>IFERROR(__xludf.DUMMYFUNCTION("""COMPUTED_VALUE"""),"室設科")</f>
        <v>室設科</v>
      </c>
      <c r="F1021" s="9" t="str">
        <f>IFERROR(__xludf.DUMMYFUNCTION("""COMPUTED_VALUE"""),"二年級")</f>
        <v>二年級</v>
      </c>
      <c r="G1021" s="9" t="str">
        <f>IFERROR(__xludf.DUMMYFUNCTION("""COMPUTED_VALUE"""),"獎狀")</f>
        <v>獎狀</v>
      </c>
      <c r="H1021" s="9"/>
    </row>
    <row r="1022">
      <c r="A1022" s="13" t="s">
        <v>11</v>
      </c>
      <c r="B1022" s="9" t="str">
        <f>IFERROR(__xludf.DUMMYFUNCTION("""COMPUTED_VALUE"""),"洪O柔")</f>
        <v>洪O柔</v>
      </c>
      <c r="C1022" s="9" t="str">
        <f>IFERROR(__xludf.DUMMYFUNCTION("""COMPUTED_VALUE"""),"113*****@stu.smvhs.kh.edu.tw")</f>
        <v>113*****@stu.smvhs.kh.edu.tw</v>
      </c>
      <c r="D1022" s="9" t="str">
        <f>IFERROR(__xludf.DUMMYFUNCTION("""COMPUTED_VALUE"""),"高雄市立三民高級家事商業職業學校")</f>
        <v>高雄市立三民高級家事商業職業學校</v>
      </c>
      <c r="E1022" s="9" t="str">
        <f>IFERROR(__xludf.DUMMYFUNCTION("""COMPUTED_VALUE"""),"室設科")</f>
        <v>室設科</v>
      </c>
      <c r="F1022" s="9" t="str">
        <f>IFERROR(__xludf.DUMMYFUNCTION("""COMPUTED_VALUE"""),"二年級")</f>
        <v>二年級</v>
      </c>
      <c r="G1022" s="9" t="str">
        <f>IFERROR(__xludf.DUMMYFUNCTION("""COMPUTED_VALUE"""),"獎狀")</f>
        <v>獎狀</v>
      </c>
      <c r="H1022" s="9"/>
    </row>
    <row r="1023">
      <c r="A1023" s="13" t="s">
        <v>11</v>
      </c>
      <c r="B1023" s="9" t="str">
        <f>IFERROR(__xludf.DUMMYFUNCTION("""COMPUTED_VALUE"""),"劉O欣")</f>
        <v>劉O欣</v>
      </c>
      <c r="C1023" s="9" t="str">
        <f>IFERROR(__xludf.DUMMYFUNCTION("""COMPUTED_VALUE"""),"113*****@stu.smvhs.kh.edu.tw")</f>
        <v>113*****@stu.smvhs.kh.edu.tw</v>
      </c>
      <c r="D1023" s="9" t="str">
        <f>IFERROR(__xludf.DUMMYFUNCTION("""COMPUTED_VALUE"""),"高雄市立三民高級家事商業職業學校")</f>
        <v>高雄市立三民高級家事商業職業學校</v>
      </c>
      <c r="E1023" s="9" t="str">
        <f>IFERROR(__xludf.DUMMYFUNCTION("""COMPUTED_VALUE"""),"室設科")</f>
        <v>室設科</v>
      </c>
      <c r="F1023" s="9" t="str">
        <f>IFERROR(__xludf.DUMMYFUNCTION("""COMPUTED_VALUE"""),"二年級")</f>
        <v>二年級</v>
      </c>
      <c r="G1023" s="9" t="str">
        <f>IFERROR(__xludf.DUMMYFUNCTION("""COMPUTED_VALUE"""),"獎狀")</f>
        <v>獎狀</v>
      </c>
      <c r="H1023" s="9"/>
    </row>
    <row r="1024">
      <c r="A1024" s="13" t="s">
        <v>11</v>
      </c>
      <c r="B1024" s="9" t="str">
        <f>IFERROR(__xludf.DUMMYFUNCTION("""COMPUTED_VALUE"""),"張O芳")</f>
        <v>張O芳</v>
      </c>
      <c r="C1024" s="9" t="str">
        <f>IFERROR(__xludf.DUMMYFUNCTION("""COMPUTED_VALUE"""),"113*****@stu.smvhs.kh.edu.tw")</f>
        <v>113*****@stu.smvhs.kh.edu.tw</v>
      </c>
      <c r="D1024" s="9" t="str">
        <f>IFERROR(__xludf.DUMMYFUNCTION("""COMPUTED_VALUE"""),"高雄市立三民高級家事商業職業學校")</f>
        <v>高雄市立三民高級家事商業職業學校</v>
      </c>
      <c r="E1024" s="9" t="str">
        <f>IFERROR(__xludf.DUMMYFUNCTION("""COMPUTED_VALUE"""),"室設科")</f>
        <v>室設科</v>
      </c>
      <c r="F1024" s="9" t="str">
        <f>IFERROR(__xludf.DUMMYFUNCTION("""COMPUTED_VALUE"""),"二年級")</f>
        <v>二年級</v>
      </c>
      <c r="G1024" s="9" t="str">
        <f>IFERROR(__xludf.DUMMYFUNCTION("""COMPUTED_VALUE"""),"獎狀")</f>
        <v>獎狀</v>
      </c>
      <c r="H1024" s="9"/>
    </row>
    <row r="1025">
      <c r="A1025" s="13" t="s">
        <v>11</v>
      </c>
      <c r="B1025" s="9" t="str">
        <f>IFERROR(__xludf.DUMMYFUNCTION("""COMPUTED_VALUE"""),"呂O妤")</f>
        <v>呂O妤</v>
      </c>
      <c r="C1025" s="9" t="str">
        <f>IFERROR(__xludf.DUMMYFUNCTION("""COMPUTED_VALUE"""),"113*****@stu.smvhs.kh.edu.tw")</f>
        <v>113*****@stu.smvhs.kh.edu.tw</v>
      </c>
      <c r="D1025" s="9" t="str">
        <f>IFERROR(__xludf.DUMMYFUNCTION("""COMPUTED_VALUE"""),"高雄市立三民高級家事商業職業學校")</f>
        <v>高雄市立三民高級家事商業職業學校</v>
      </c>
      <c r="E1025" s="9" t="str">
        <f>IFERROR(__xludf.DUMMYFUNCTION("""COMPUTED_VALUE"""),"室設科")</f>
        <v>室設科</v>
      </c>
      <c r="F1025" s="9" t="str">
        <f>IFERROR(__xludf.DUMMYFUNCTION("""COMPUTED_VALUE"""),"二年級")</f>
        <v>二年級</v>
      </c>
      <c r="G1025" s="9" t="str">
        <f>IFERROR(__xludf.DUMMYFUNCTION("""COMPUTED_VALUE"""),"獎狀")</f>
        <v>獎狀</v>
      </c>
      <c r="H1025" s="9"/>
    </row>
    <row r="1026">
      <c r="A1026" s="13" t="s">
        <v>11</v>
      </c>
      <c r="B1026" s="9" t="str">
        <f>IFERROR(__xludf.DUMMYFUNCTION("""COMPUTED_VALUE"""),"林O羽")</f>
        <v>林O羽</v>
      </c>
      <c r="C1026" s="9" t="str">
        <f>IFERROR(__xludf.DUMMYFUNCTION("""COMPUTED_VALUE"""),"113*****@stu.smvhs.kh.edu.tw")</f>
        <v>113*****@stu.smvhs.kh.edu.tw</v>
      </c>
      <c r="D1026" s="9" t="str">
        <f>IFERROR(__xludf.DUMMYFUNCTION("""COMPUTED_VALUE"""),"高雄市立三民高級家事商業職業學校")</f>
        <v>高雄市立三民高級家事商業職業學校</v>
      </c>
      <c r="E1026" s="9" t="str">
        <f>IFERROR(__xludf.DUMMYFUNCTION("""COMPUTED_VALUE"""),"室設科")</f>
        <v>室設科</v>
      </c>
      <c r="F1026" s="9" t="str">
        <f>IFERROR(__xludf.DUMMYFUNCTION("""COMPUTED_VALUE"""),"二年級")</f>
        <v>二年級</v>
      </c>
      <c r="G1026" s="9" t="str">
        <f>IFERROR(__xludf.DUMMYFUNCTION("""COMPUTED_VALUE"""),"★商品卡$1000")</f>
        <v>★商品卡$1000</v>
      </c>
      <c r="H1026" s="9"/>
    </row>
    <row r="1027">
      <c r="A1027" s="13" t="s">
        <v>11</v>
      </c>
      <c r="B1027" s="9" t="str">
        <f>IFERROR(__xludf.DUMMYFUNCTION("""COMPUTED_VALUE"""),"吳O璇")</f>
        <v>吳O璇</v>
      </c>
      <c r="C1027" s="9" t="str">
        <f>IFERROR(__xludf.DUMMYFUNCTION("""COMPUTED_VALUE"""),"113*****@stu.smvhs.kh.edu.tw")</f>
        <v>113*****@stu.smvhs.kh.edu.tw</v>
      </c>
      <c r="D1027" s="9" t="str">
        <f>IFERROR(__xludf.DUMMYFUNCTION("""COMPUTED_VALUE"""),"高雄市立三民高級家事商業職業學校")</f>
        <v>高雄市立三民高級家事商業職業學校</v>
      </c>
      <c r="E1027" s="9" t="str">
        <f>IFERROR(__xludf.DUMMYFUNCTION("""COMPUTED_VALUE"""),"室設科")</f>
        <v>室設科</v>
      </c>
      <c r="F1027" s="9" t="str">
        <f>IFERROR(__xludf.DUMMYFUNCTION("""COMPUTED_VALUE"""),"二年級")</f>
        <v>二年級</v>
      </c>
      <c r="G1027" s="9" t="str">
        <f>IFERROR(__xludf.DUMMYFUNCTION("""COMPUTED_VALUE"""),"獎狀")</f>
        <v>獎狀</v>
      </c>
      <c r="H1027" s="9"/>
    </row>
    <row r="1028">
      <c r="A1028" s="13" t="s">
        <v>11</v>
      </c>
      <c r="B1028" s="9" t="str">
        <f>IFERROR(__xludf.DUMMYFUNCTION("""COMPUTED_VALUE"""),"李O家")</f>
        <v>李O家</v>
      </c>
      <c r="C1028" s="9" t="str">
        <f>IFERROR(__xludf.DUMMYFUNCTION("""COMPUTED_VALUE"""),"113*****@stu.smvhs.kh.edu.tw")</f>
        <v>113*****@stu.smvhs.kh.edu.tw</v>
      </c>
      <c r="D1028" s="9" t="str">
        <f>IFERROR(__xludf.DUMMYFUNCTION("""COMPUTED_VALUE"""),"高雄市立三民高級家事商業職業學校")</f>
        <v>高雄市立三民高級家事商業職業學校</v>
      </c>
      <c r="E1028" s="9" t="str">
        <f>IFERROR(__xludf.DUMMYFUNCTION("""COMPUTED_VALUE"""),"室設科")</f>
        <v>室設科</v>
      </c>
      <c r="F1028" s="9" t="str">
        <f>IFERROR(__xludf.DUMMYFUNCTION("""COMPUTED_VALUE"""),"二年級")</f>
        <v>二年級</v>
      </c>
      <c r="G1028" s="9" t="str">
        <f>IFERROR(__xludf.DUMMYFUNCTION("""COMPUTED_VALUE"""),"獎狀")</f>
        <v>獎狀</v>
      </c>
      <c r="H1028" s="9"/>
    </row>
    <row r="1029">
      <c r="A1029" s="13" t="s">
        <v>11</v>
      </c>
      <c r="B1029" s="9" t="str">
        <f>IFERROR(__xludf.DUMMYFUNCTION("""COMPUTED_VALUE"""),"陳O淇")</f>
        <v>陳O淇</v>
      </c>
      <c r="C1029" s="9" t="str">
        <f>IFERROR(__xludf.DUMMYFUNCTION("""COMPUTED_VALUE"""),"113*****@stu.smvhs.kh.edu.tw")</f>
        <v>113*****@stu.smvhs.kh.edu.tw</v>
      </c>
      <c r="D1029" s="9" t="str">
        <f>IFERROR(__xludf.DUMMYFUNCTION("""COMPUTED_VALUE"""),"高雄市立三民高級家事商業職業學校")</f>
        <v>高雄市立三民高級家事商業職業學校</v>
      </c>
      <c r="E1029" s="9" t="str">
        <f>IFERROR(__xludf.DUMMYFUNCTION("""COMPUTED_VALUE"""),"室設科")</f>
        <v>室設科</v>
      </c>
      <c r="F1029" s="9" t="str">
        <f>IFERROR(__xludf.DUMMYFUNCTION("""COMPUTED_VALUE"""),"二年級")</f>
        <v>二年級</v>
      </c>
      <c r="G1029" s="9" t="str">
        <f>IFERROR(__xludf.DUMMYFUNCTION("""COMPUTED_VALUE"""),"獎狀")</f>
        <v>獎狀</v>
      </c>
      <c r="H1029" s="9"/>
    </row>
    <row r="1030">
      <c r="A1030" s="13" t="s">
        <v>11</v>
      </c>
      <c r="B1030" s="9" t="str">
        <f>IFERROR(__xludf.DUMMYFUNCTION("""COMPUTED_VALUE"""),"宋O禕")</f>
        <v>宋O禕</v>
      </c>
      <c r="C1030" s="9" t="str">
        <f>IFERROR(__xludf.DUMMYFUNCTION("""COMPUTED_VALUE"""),"113*****@stu.smvhs.kh.edu.tw")</f>
        <v>113*****@stu.smvhs.kh.edu.tw</v>
      </c>
      <c r="D1030" s="9" t="str">
        <f>IFERROR(__xludf.DUMMYFUNCTION("""COMPUTED_VALUE"""),"高雄市立三民高級家事商業職業學校")</f>
        <v>高雄市立三民高級家事商業職業學校</v>
      </c>
      <c r="E1030" s="9" t="str">
        <f>IFERROR(__xludf.DUMMYFUNCTION("""COMPUTED_VALUE"""),"室設科")</f>
        <v>室設科</v>
      </c>
      <c r="F1030" s="9" t="str">
        <f>IFERROR(__xludf.DUMMYFUNCTION("""COMPUTED_VALUE"""),"二年級")</f>
        <v>二年級</v>
      </c>
      <c r="G1030" s="9" t="str">
        <f>IFERROR(__xludf.DUMMYFUNCTION("""COMPUTED_VALUE"""),"獎狀")</f>
        <v>獎狀</v>
      </c>
      <c r="H1030" s="9"/>
    </row>
    <row r="1031">
      <c r="A1031" s="13" t="s">
        <v>11</v>
      </c>
      <c r="B1031" s="9" t="str">
        <f>IFERROR(__xludf.DUMMYFUNCTION("""COMPUTED_VALUE"""),"李O芩")</f>
        <v>李O芩</v>
      </c>
      <c r="C1031" s="9" t="str">
        <f>IFERROR(__xludf.DUMMYFUNCTION("""COMPUTED_VALUE"""),"113*****@stu.smvhs.kh.edu.tw")</f>
        <v>113*****@stu.smvhs.kh.edu.tw</v>
      </c>
      <c r="D1031" s="9" t="str">
        <f>IFERROR(__xludf.DUMMYFUNCTION("""COMPUTED_VALUE"""),"高雄市立三民高級家事商業職業學校")</f>
        <v>高雄市立三民高級家事商業職業學校</v>
      </c>
      <c r="E1031" s="9" t="str">
        <f>IFERROR(__xludf.DUMMYFUNCTION("""COMPUTED_VALUE"""),"室設科")</f>
        <v>室設科</v>
      </c>
      <c r="F1031" s="9" t="str">
        <f>IFERROR(__xludf.DUMMYFUNCTION("""COMPUTED_VALUE"""),"二年級")</f>
        <v>二年級</v>
      </c>
      <c r="G1031" s="9" t="str">
        <f>IFERROR(__xludf.DUMMYFUNCTION("""COMPUTED_VALUE"""),"獎狀")</f>
        <v>獎狀</v>
      </c>
      <c r="H1031" s="9"/>
    </row>
    <row r="1032">
      <c r="A1032" s="13" t="s">
        <v>11</v>
      </c>
      <c r="B1032" s="9" t="str">
        <f>IFERROR(__xludf.DUMMYFUNCTION("""COMPUTED_VALUE"""),"杜O穎")</f>
        <v>杜O穎</v>
      </c>
      <c r="C1032" s="9" t="str">
        <f>IFERROR(__xludf.DUMMYFUNCTION("""COMPUTED_VALUE"""),"113*****@stu.smvhs.kh.edu.tw")</f>
        <v>113*****@stu.smvhs.kh.edu.tw</v>
      </c>
      <c r="D1032" s="9" t="str">
        <f>IFERROR(__xludf.DUMMYFUNCTION("""COMPUTED_VALUE"""),"高雄市立三民高級家事商業職業學校")</f>
        <v>高雄市立三民高級家事商業職業學校</v>
      </c>
      <c r="E1032" s="9" t="str">
        <f>IFERROR(__xludf.DUMMYFUNCTION("""COMPUTED_VALUE"""),"室設科")</f>
        <v>室設科</v>
      </c>
      <c r="F1032" s="9" t="str">
        <f>IFERROR(__xludf.DUMMYFUNCTION("""COMPUTED_VALUE"""),"二年級")</f>
        <v>二年級</v>
      </c>
      <c r="G1032" s="9" t="str">
        <f>IFERROR(__xludf.DUMMYFUNCTION("""COMPUTED_VALUE"""),"獎狀")</f>
        <v>獎狀</v>
      </c>
      <c r="H1032" s="9"/>
    </row>
    <row r="1033">
      <c r="A1033" s="13" t="s">
        <v>11</v>
      </c>
      <c r="B1033" s="9" t="str">
        <f>IFERROR(__xludf.DUMMYFUNCTION("""COMPUTED_VALUE"""),"陳O宸")</f>
        <v>陳O宸</v>
      </c>
      <c r="C1033" s="9" t="str">
        <f>IFERROR(__xludf.DUMMYFUNCTION("""COMPUTED_VALUE"""),"113*****@stu.smvhs.kh.edu.tw")</f>
        <v>113*****@stu.smvhs.kh.edu.tw</v>
      </c>
      <c r="D1033" s="9" t="str">
        <f>IFERROR(__xludf.DUMMYFUNCTION("""COMPUTED_VALUE"""),"高雄市立三民高級家事商業職業學校")</f>
        <v>高雄市立三民高級家事商業職業學校</v>
      </c>
      <c r="E1033" s="9" t="str">
        <f>IFERROR(__xludf.DUMMYFUNCTION("""COMPUTED_VALUE"""),"室設科")</f>
        <v>室設科</v>
      </c>
      <c r="F1033" s="9" t="str">
        <f>IFERROR(__xludf.DUMMYFUNCTION("""COMPUTED_VALUE"""),"二年級")</f>
        <v>二年級</v>
      </c>
      <c r="G1033" s="9" t="str">
        <f>IFERROR(__xludf.DUMMYFUNCTION("""COMPUTED_VALUE"""),"獎狀")</f>
        <v>獎狀</v>
      </c>
      <c r="H1033" s="9"/>
    </row>
    <row r="1034">
      <c r="A1034" s="13" t="s">
        <v>11</v>
      </c>
      <c r="B1034" s="9" t="str">
        <f>IFERROR(__xludf.DUMMYFUNCTION("""COMPUTED_VALUE"""),"郭O欣")</f>
        <v>郭O欣</v>
      </c>
      <c r="C1034" s="9" t="str">
        <f>IFERROR(__xludf.DUMMYFUNCTION("""COMPUTED_VALUE"""),"113*****@stu.smvhs.kh.edu.tw")</f>
        <v>113*****@stu.smvhs.kh.edu.tw</v>
      </c>
      <c r="D1034" s="9" t="str">
        <f>IFERROR(__xludf.DUMMYFUNCTION("""COMPUTED_VALUE"""),"高雄市立三民高級家事商業職業學校")</f>
        <v>高雄市立三民高級家事商業職業學校</v>
      </c>
      <c r="E1034" s="9" t="str">
        <f>IFERROR(__xludf.DUMMYFUNCTION("""COMPUTED_VALUE"""),"室設科")</f>
        <v>室設科</v>
      </c>
      <c r="F1034" s="9" t="str">
        <f>IFERROR(__xludf.DUMMYFUNCTION("""COMPUTED_VALUE"""),"二年級")</f>
        <v>二年級</v>
      </c>
      <c r="G1034" s="9" t="str">
        <f>IFERROR(__xludf.DUMMYFUNCTION("""COMPUTED_VALUE"""),"獎狀")</f>
        <v>獎狀</v>
      </c>
      <c r="H1034" s="9"/>
    </row>
    <row r="1035">
      <c r="A1035" s="13" t="s">
        <v>11</v>
      </c>
      <c r="B1035" s="9" t="str">
        <f>IFERROR(__xludf.DUMMYFUNCTION("""COMPUTED_VALUE"""),"李O璇")</f>
        <v>李O璇</v>
      </c>
      <c r="C1035" s="9" t="str">
        <f>IFERROR(__xludf.DUMMYFUNCTION("""COMPUTED_VALUE"""),"113*****@stu.smvhs.kh.edu.tw")</f>
        <v>113*****@stu.smvhs.kh.edu.tw</v>
      </c>
      <c r="D1035" s="9" t="str">
        <f>IFERROR(__xludf.DUMMYFUNCTION("""COMPUTED_VALUE"""),"高雄市立三民高級家事商業職業學校")</f>
        <v>高雄市立三民高級家事商業職業學校</v>
      </c>
      <c r="E1035" s="9" t="str">
        <f>IFERROR(__xludf.DUMMYFUNCTION("""COMPUTED_VALUE"""),"室設科")</f>
        <v>室設科</v>
      </c>
      <c r="F1035" s="9" t="str">
        <f>IFERROR(__xludf.DUMMYFUNCTION("""COMPUTED_VALUE"""),"二年級")</f>
        <v>二年級</v>
      </c>
      <c r="G1035" s="9" t="str">
        <f>IFERROR(__xludf.DUMMYFUNCTION("""COMPUTED_VALUE"""),"○商品卡$500")</f>
        <v>○商品卡$500</v>
      </c>
      <c r="H1035" s="9"/>
    </row>
    <row r="1036">
      <c r="A1036" s="13" t="s">
        <v>11</v>
      </c>
      <c r="B1036" s="9" t="str">
        <f>IFERROR(__xludf.DUMMYFUNCTION("""COMPUTED_VALUE"""),"莊O")</f>
        <v>莊O</v>
      </c>
      <c r="C1036" s="9" t="str">
        <f>IFERROR(__xludf.DUMMYFUNCTION("""COMPUTED_VALUE"""),"113*****@stu.smvhs.kh.edu.tw")</f>
        <v>113*****@stu.smvhs.kh.edu.tw</v>
      </c>
      <c r="D1036" s="9" t="str">
        <f>IFERROR(__xludf.DUMMYFUNCTION("""COMPUTED_VALUE"""),"高雄市立三民高級家事商業職業學校")</f>
        <v>高雄市立三民高級家事商業職業學校</v>
      </c>
      <c r="E1036" s="9" t="str">
        <f>IFERROR(__xludf.DUMMYFUNCTION("""COMPUTED_VALUE"""),"室設科")</f>
        <v>室設科</v>
      </c>
      <c r="F1036" s="9" t="str">
        <f>IFERROR(__xludf.DUMMYFUNCTION("""COMPUTED_VALUE"""),"二年級")</f>
        <v>二年級</v>
      </c>
      <c r="G1036" s="9" t="str">
        <f>IFERROR(__xludf.DUMMYFUNCTION("""COMPUTED_VALUE"""),"獎狀")</f>
        <v>獎狀</v>
      </c>
      <c r="H1036" s="9"/>
    </row>
    <row r="1037">
      <c r="A1037" s="13" t="s">
        <v>11</v>
      </c>
      <c r="B1037" s="9" t="str">
        <f>IFERROR(__xludf.DUMMYFUNCTION("""COMPUTED_VALUE"""),"陳O圓")</f>
        <v>陳O圓</v>
      </c>
      <c r="C1037" s="9" t="str">
        <f>IFERROR(__xludf.DUMMYFUNCTION("""COMPUTED_VALUE"""),"113*****@stu.smvhs.kh.edu.tw")</f>
        <v>113*****@stu.smvhs.kh.edu.tw</v>
      </c>
      <c r="D1037" s="9" t="str">
        <f>IFERROR(__xludf.DUMMYFUNCTION("""COMPUTED_VALUE"""),"高雄市立三民高級家事商業職業學校")</f>
        <v>高雄市立三民高級家事商業職業學校</v>
      </c>
      <c r="E1037" s="9" t="str">
        <f>IFERROR(__xludf.DUMMYFUNCTION("""COMPUTED_VALUE"""),"設計科")</f>
        <v>設計科</v>
      </c>
      <c r="F1037" s="9" t="str">
        <f>IFERROR(__xludf.DUMMYFUNCTION("""COMPUTED_VALUE"""),"二年級")</f>
        <v>二年級</v>
      </c>
      <c r="G1037" s="9" t="str">
        <f>IFERROR(__xludf.DUMMYFUNCTION("""COMPUTED_VALUE"""),"獎狀")</f>
        <v>獎狀</v>
      </c>
      <c r="H1037" s="9"/>
    </row>
    <row r="1038">
      <c r="A1038" s="13" t="s">
        <v>11</v>
      </c>
      <c r="B1038" s="9" t="str">
        <f>IFERROR(__xludf.DUMMYFUNCTION("""COMPUTED_VALUE"""),"施O恩")</f>
        <v>施O恩</v>
      </c>
      <c r="C1038" s="9" t="str">
        <f>IFERROR(__xludf.DUMMYFUNCTION("""COMPUTED_VALUE"""),"112*****@stu.smvhs.kh.edu.tw")</f>
        <v>112*****@stu.smvhs.kh.edu.tw</v>
      </c>
      <c r="D1038" s="9" t="str">
        <f>IFERROR(__xludf.DUMMYFUNCTION("""COMPUTED_VALUE"""),"高雄市立三民高級家事商業職業學校")</f>
        <v>高雄市立三民高級家事商業職業學校</v>
      </c>
      <c r="E1038" s="9" t="str">
        <f>IFERROR(__xludf.DUMMYFUNCTION("""COMPUTED_VALUE"""),"觀光事業科")</f>
        <v>觀光事業科</v>
      </c>
      <c r="F1038" s="9" t="str">
        <f>IFERROR(__xludf.DUMMYFUNCTION("""COMPUTED_VALUE"""),"二年級")</f>
        <v>二年級</v>
      </c>
      <c r="G1038" s="9" t="str">
        <f>IFERROR(__xludf.DUMMYFUNCTION("""COMPUTED_VALUE"""),"獎狀")</f>
        <v>獎狀</v>
      </c>
      <c r="H1038" s="9"/>
    </row>
    <row r="1039">
      <c r="A1039" s="13" t="s">
        <v>11</v>
      </c>
      <c r="B1039" s="9" t="str">
        <f>IFERROR(__xludf.DUMMYFUNCTION("""COMPUTED_VALUE"""),"巫O儀")</f>
        <v>巫O儀</v>
      </c>
      <c r="C1039" s="9" t="str">
        <f>IFERROR(__xludf.DUMMYFUNCTION("""COMPUTED_VALUE"""),"112*****@stu.smvhs.kh.edu.tw")</f>
        <v>112*****@stu.smvhs.kh.edu.tw</v>
      </c>
      <c r="D1039" s="9" t="str">
        <f>IFERROR(__xludf.DUMMYFUNCTION("""COMPUTED_VALUE"""),"高雄市立三民高級家事商業職業學校")</f>
        <v>高雄市立三民高級家事商業職業學校</v>
      </c>
      <c r="E1039" s="9" t="str">
        <f>IFERROR(__xludf.DUMMYFUNCTION("""COMPUTED_VALUE"""),"觀光事業科")</f>
        <v>觀光事業科</v>
      </c>
      <c r="F1039" s="9" t="str">
        <f>IFERROR(__xludf.DUMMYFUNCTION("""COMPUTED_VALUE"""),"二年級")</f>
        <v>二年級</v>
      </c>
      <c r="G1039" s="9" t="str">
        <f>IFERROR(__xludf.DUMMYFUNCTION("""COMPUTED_VALUE"""),"獎狀")</f>
        <v>獎狀</v>
      </c>
      <c r="H1039" s="9"/>
    </row>
    <row r="1040">
      <c r="A1040" s="13" t="s">
        <v>11</v>
      </c>
      <c r="B1040" s="9" t="str">
        <f>IFERROR(__xludf.DUMMYFUNCTION("""COMPUTED_VALUE"""),"戴O易")</f>
        <v>戴O易</v>
      </c>
      <c r="C1040" s="9" t="str">
        <f>IFERROR(__xludf.DUMMYFUNCTION("""COMPUTED_VALUE"""),"112*****@stu.smvhs.kh.edu.tw")</f>
        <v>112*****@stu.smvhs.kh.edu.tw</v>
      </c>
      <c r="D1040" s="9" t="str">
        <f>IFERROR(__xludf.DUMMYFUNCTION("""COMPUTED_VALUE"""),"高雄市立三民高級家事商業職業學校")</f>
        <v>高雄市立三民高級家事商業職業學校</v>
      </c>
      <c r="E1040" s="9" t="str">
        <f>IFERROR(__xludf.DUMMYFUNCTION("""COMPUTED_VALUE"""),"觀光事業科")</f>
        <v>觀光事業科</v>
      </c>
      <c r="F1040" s="9" t="str">
        <f>IFERROR(__xludf.DUMMYFUNCTION("""COMPUTED_VALUE"""),"二年級")</f>
        <v>二年級</v>
      </c>
      <c r="G1040" s="9" t="str">
        <f>IFERROR(__xludf.DUMMYFUNCTION("""COMPUTED_VALUE"""),"獎狀")</f>
        <v>獎狀</v>
      </c>
      <c r="H1040" s="9"/>
    </row>
    <row r="1041">
      <c r="A1041" s="13" t="s">
        <v>11</v>
      </c>
      <c r="B1041" s="9" t="str">
        <f>IFERROR(__xludf.DUMMYFUNCTION("""COMPUTED_VALUE"""),"潘O涵")</f>
        <v>潘O涵</v>
      </c>
      <c r="C1041" s="9" t="str">
        <f>IFERROR(__xludf.DUMMYFUNCTION("""COMPUTED_VALUE"""),"112*****@stu.smvhs.kh.edu.tw")</f>
        <v>112*****@stu.smvhs.kh.edu.tw</v>
      </c>
      <c r="D1041" s="9" t="str">
        <f>IFERROR(__xludf.DUMMYFUNCTION("""COMPUTED_VALUE"""),"高雄市立三民高級家事商業職業學校")</f>
        <v>高雄市立三民高級家事商業職業學校</v>
      </c>
      <c r="E1041" s="9" t="str">
        <f>IFERROR(__xludf.DUMMYFUNCTION("""COMPUTED_VALUE"""),"觀光事業科")</f>
        <v>觀光事業科</v>
      </c>
      <c r="F1041" s="9" t="str">
        <f>IFERROR(__xludf.DUMMYFUNCTION("""COMPUTED_VALUE"""),"二年級")</f>
        <v>二年級</v>
      </c>
      <c r="G1041" s="9" t="str">
        <f>IFERROR(__xludf.DUMMYFUNCTION("""COMPUTED_VALUE"""),"■商品卡$200")</f>
        <v>■商品卡$200</v>
      </c>
      <c r="H1041" s="9"/>
    </row>
    <row r="1042">
      <c r="A1042" s="13" t="s">
        <v>11</v>
      </c>
      <c r="B1042" s="9" t="str">
        <f>IFERROR(__xludf.DUMMYFUNCTION("""COMPUTED_VALUE"""),"楊O諺")</f>
        <v>楊O諺</v>
      </c>
      <c r="C1042" s="9" t="str">
        <f>IFERROR(__xludf.DUMMYFUNCTION("""COMPUTED_VALUE"""),"112*****@stu.smvhs.kh.edu.tw")</f>
        <v>112*****@stu.smvhs.kh.edu.tw</v>
      </c>
      <c r="D1042" s="9" t="str">
        <f>IFERROR(__xludf.DUMMYFUNCTION("""COMPUTED_VALUE"""),"高雄市立三民高級家事商業職業學校")</f>
        <v>高雄市立三民高級家事商業職業學校</v>
      </c>
      <c r="E1042" s="9" t="str">
        <f>IFERROR(__xludf.DUMMYFUNCTION("""COMPUTED_VALUE"""),"觀光事業科")</f>
        <v>觀光事業科</v>
      </c>
      <c r="F1042" s="9" t="str">
        <f>IFERROR(__xludf.DUMMYFUNCTION("""COMPUTED_VALUE"""),"二年級")</f>
        <v>二年級</v>
      </c>
      <c r="G1042" s="9" t="str">
        <f>IFERROR(__xludf.DUMMYFUNCTION("""COMPUTED_VALUE"""),"獎狀")</f>
        <v>獎狀</v>
      </c>
      <c r="H1042" s="9"/>
    </row>
    <row r="1043">
      <c r="A1043" s="13" t="s">
        <v>11</v>
      </c>
      <c r="B1043" s="9" t="str">
        <f>IFERROR(__xludf.DUMMYFUNCTION("""COMPUTED_VALUE"""),"黃O芳")</f>
        <v>黃O芳</v>
      </c>
      <c r="C1043" s="9" t="str">
        <f>IFERROR(__xludf.DUMMYFUNCTION("""COMPUTED_VALUE"""),"112*****@stu.smvhs.kh.edu.tw")</f>
        <v>112*****@stu.smvhs.kh.edu.tw</v>
      </c>
      <c r="D1043" s="9" t="str">
        <f>IFERROR(__xludf.DUMMYFUNCTION("""COMPUTED_VALUE"""),"高雄市立三民高級家事商業職業學校")</f>
        <v>高雄市立三民高級家事商業職業學校</v>
      </c>
      <c r="E1043" s="9" t="str">
        <f>IFERROR(__xludf.DUMMYFUNCTION("""COMPUTED_VALUE"""),"觀光事業科")</f>
        <v>觀光事業科</v>
      </c>
      <c r="F1043" s="9" t="str">
        <f>IFERROR(__xludf.DUMMYFUNCTION("""COMPUTED_VALUE"""),"二年級")</f>
        <v>二年級</v>
      </c>
      <c r="G1043" s="9" t="str">
        <f>IFERROR(__xludf.DUMMYFUNCTION("""COMPUTED_VALUE"""),"○商品卡$500")</f>
        <v>○商品卡$500</v>
      </c>
      <c r="H1043" s="9"/>
    </row>
    <row r="1044">
      <c r="A1044" s="13" t="s">
        <v>11</v>
      </c>
      <c r="B1044" s="9" t="str">
        <f>IFERROR(__xludf.DUMMYFUNCTION("""COMPUTED_VALUE"""),"黃O緯")</f>
        <v>黃O緯</v>
      </c>
      <c r="C1044" s="9" t="str">
        <f>IFERROR(__xludf.DUMMYFUNCTION("""COMPUTED_VALUE"""),"112*****@stu.smvhs.kh.edu.tw")</f>
        <v>112*****@stu.smvhs.kh.edu.tw</v>
      </c>
      <c r="D1044" s="9" t="str">
        <f>IFERROR(__xludf.DUMMYFUNCTION("""COMPUTED_VALUE"""),"高雄市立三民高級家事商業職業學校")</f>
        <v>高雄市立三民高級家事商業職業學校</v>
      </c>
      <c r="E1044" s="9" t="str">
        <f>IFERROR(__xludf.DUMMYFUNCTION("""COMPUTED_VALUE"""),"觀光事業科")</f>
        <v>觀光事業科</v>
      </c>
      <c r="F1044" s="9" t="str">
        <f>IFERROR(__xludf.DUMMYFUNCTION("""COMPUTED_VALUE"""),"二年級")</f>
        <v>二年級</v>
      </c>
      <c r="G1044" s="9" t="str">
        <f>IFERROR(__xludf.DUMMYFUNCTION("""COMPUTED_VALUE"""),"獎狀")</f>
        <v>獎狀</v>
      </c>
      <c r="H1044" s="9"/>
    </row>
    <row r="1045">
      <c r="A1045" s="13" t="s">
        <v>11</v>
      </c>
      <c r="B1045" s="9" t="str">
        <f>IFERROR(__xludf.DUMMYFUNCTION("""COMPUTED_VALUE"""),"孫O晴")</f>
        <v>孫O晴</v>
      </c>
      <c r="C1045" s="9" t="str">
        <f>IFERROR(__xludf.DUMMYFUNCTION("""COMPUTED_VALUE"""),"112*****@stu.smvhs.kh.edu.tw")</f>
        <v>112*****@stu.smvhs.kh.edu.tw</v>
      </c>
      <c r="D1045" s="9" t="str">
        <f>IFERROR(__xludf.DUMMYFUNCTION("""COMPUTED_VALUE"""),"高雄市立三民高級家事商業職業學校")</f>
        <v>高雄市立三民高級家事商業職業學校</v>
      </c>
      <c r="E1045" s="9" t="str">
        <f>IFERROR(__xludf.DUMMYFUNCTION("""COMPUTED_VALUE"""),"觀光事業科")</f>
        <v>觀光事業科</v>
      </c>
      <c r="F1045" s="9" t="str">
        <f>IFERROR(__xludf.DUMMYFUNCTION("""COMPUTED_VALUE"""),"二年級")</f>
        <v>二年級</v>
      </c>
      <c r="G1045" s="9" t="str">
        <f>IFERROR(__xludf.DUMMYFUNCTION("""COMPUTED_VALUE"""),"■商品卡$200")</f>
        <v>■商品卡$200</v>
      </c>
      <c r="H1045" s="9"/>
    </row>
    <row r="1046">
      <c r="A1046" s="13" t="s">
        <v>11</v>
      </c>
      <c r="B1046" s="9" t="str">
        <f>IFERROR(__xludf.DUMMYFUNCTION("""COMPUTED_VALUE"""),"張O唐")</f>
        <v>張O唐</v>
      </c>
      <c r="C1046" s="9" t="str">
        <f>IFERROR(__xludf.DUMMYFUNCTION("""COMPUTED_VALUE"""),"112*****@stu.smvhs.kh.edu.tw")</f>
        <v>112*****@stu.smvhs.kh.edu.tw</v>
      </c>
      <c r="D1046" s="9" t="str">
        <f>IFERROR(__xludf.DUMMYFUNCTION("""COMPUTED_VALUE"""),"高雄市立三民高級家事商業職業學校")</f>
        <v>高雄市立三民高級家事商業職業學校</v>
      </c>
      <c r="E1046" s="9" t="str">
        <f>IFERROR(__xludf.DUMMYFUNCTION("""COMPUTED_VALUE"""),"觀光事業科")</f>
        <v>觀光事業科</v>
      </c>
      <c r="F1046" s="9" t="str">
        <f>IFERROR(__xludf.DUMMYFUNCTION("""COMPUTED_VALUE"""),"二年級")</f>
        <v>二年級</v>
      </c>
      <c r="G1046" s="9" t="str">
        <f>IFERROR(__xludf.DUMMYFUNCTION("""COMPUTED_VALUE"""),"獎狀")</f>
        <v>獎狀</v>
      </c>
      <c r="H1046" s="9"/>
    </row>
    <row r="1047">
      <c r="A1047" s="13" t="s">
        <v>11</v>
      </c>
      <c r="B1047" s="9" t="str">
        <f>IFERROR(__xludf.DUMMYFUNCTION("""COMPUTED_VALUE"""),"歐O嘉")</f>
        <v>歐O嘉</v>
      </c>
      <c r="C1047" s="9" t="str">
        <f>IFERROR(__xludf.DUMMYFUNCTION("""COMPUTED_VALUE"""),"112*****@smvhs.kh.edu.tw")</f>
        <v>112*****@smvhs.kh.edu.tw</v>
      </c>
      <c r="D1047" s="9" t="str">
        <f>IFERROR(__xludf.DUMMYFUNCTION("""COMPUTED_VALUE"""),"高雄市立三民高級家事商業職業學校")</f>
        <v>高雄市立三民高級家事商業職業學校</v>
      </c>
      <c r="E1047" s="9" t="str">
        <f>IFERROR(__xludf.DUMMYFUNCTION("""COMPUTED_VALUE"""),"觀光事業科")</f>
        <v>觀光事業科</v>
      </c>
      <c r="F1047" s="9" t="str">
        <f>IFERROR(__xludf.DUMMYFUNCTION("""COMPUTED_VALUE"""),"二年級")</f>
        <v>二年級</v>
      </c>
      <c r="G1047" s="9" t="str">
        <f>IFERROR(__xludf.DUMMYFUNCTION("""COMPUTED_VALUE"""),"獎狀")</f>
        <v>獎狀</v>
      </c>
      <c r="H1047" s="9"/>
    </row>
    <row r="1048">
      <c r="A1048" s="13" t="s">
        <v>11</v>
      </c>
      <c r="B1048" s="9" t="str">
        <f>IFERROR(__xludf.DUMMYFUNCTION("""COMPUTED_VALUE"""),"蔡O璇")</f>
        <v>蔡O璇</v>
      </c>
      <c r="C1048" s="9" t="str">
        <f>IFERROR(__xludf.DUMMYFUNCTION("""COMPUTED_VALUE"""),"112*****@stu.smvhs.kh.edu.tw")</f>
        <v>112*****@stu.smvhs.kh.edu.tw</v>
      </c>
      <c r="D1048" s="9" t="str">
        <f>IFERROR(__xludf.DUMMYFUNCTION("""COMPUTED_VALUE"""),"高雄市立三民高級家事商業職業學校")</f>
        <v>高雄市立三民高級家事商業職業學校</v>
      </c>
      <c r="E1048" s="9" t="str">
        <f>IFERROR(__xludf.DUMMYFUNCTION("""COMPUTED_VALUE"""),"觀光事業科")</f>
        <v>觀光事業科</v>
      </c>
      <c r="F1048" s="9" t="str">
        <f>IFERROR(__xludf.DUMMYFUNCTION("""COMPUTED_VALUE"""),"二年級")</f>
        <v>二年級</v>
      </c>
      <c r="G1048" s="9" t="str">
        <f>IFERROR(__xludf.DUMMYFUNCTION("""COMPUTED_VALUE"""),"獎狀")</f>
        <v>獎狀</v>
      </c>
      <c r="H1048" s="9"/>
    </row>
    <row r="1049">
      <c r="A1049" s="13" t="s">
        <v>11</v>
      </c>
      <c r="B1049" s="9" t="str">
        <f>IFERROR(__xludf.DUMMYFUNCTION("""COMPUTED_VALUE"""),"林O諭")</f>
        <v>林O諭</v>
      </c>
      <c r="C1049" s="9" t="str">
        <f>IFERROR(__xludf.DUMMYFUNCTION("""COMPUTED_VALUE"""),"s03*****.kh@mail.edu.tw")</f>
        <v>s03*****.kh@mail.edu.tw</v>
      </c>
      <c r="D1049" s="9" t="str">
        <f>IFERROR(__xludf.DUMMYFUNCTION("""COMPUTED_VALUE"""),"高雄市立三民高級家事商業職業學校")</f>
        <v>高雄市立三民高級家事商業職業學校</v>
      </c>
      <c r="E1049" s="9" t="str">
        <f>IFERROR(__xludf.DUMMYFUNCTION("""COMPUTED_VALUE"""),"觀光事業科")</f>
        <v>觀光事業科</v>
      </c>
      <c r="F1049" s="9" t="str">
        <f>IFERROR(__xludf.DUMMYFUNCTION("""COMPUTED_VALUE"""),"二年級")</f>
        <v>二年級</v>
      </c>
      <c r="G1049" s="9" t="str">
        <f>IFERROR(__xludf.DUMMYFUNCTION("""COMPUTED_VALUE"""),"獎狀")</f>
        <v>獎狀</v>
      </c>
      <c r="H1049" s="9"/>
    </row>
    <row r="1050">
      <c r="A1050" s="13" t="s">
        <v>11</v>
      </c>
      <c r="B1050" s="9" t="str">
        <f>IFERROR(__xludf.DUMMYFUNCTION("""COMPUTED_VALUE"""),"范O恩")</f>
        <v>范O恩</v>
      </c>
      <c r="C1050" s="9" t="str">
        <f>IFERROR(__xludf.DUMMYFUNCTION("""COMPUTED_VALUE"""),"s03*****@mail.edu.tw")</f>
        <v>s03*****@mail.edu.tw</v>
      </c>
      <c r="D1050" s="9" t="str">
        <f>IFERROR(__xludf.DUMMYFUNCTION("""COMPUTED_VALUE"""),"高雄市立三民高級家事商業職業學校")</f>
        <v>高雄市立三民高級家事商業職業學校</v>
      </c>
      <c r="E1050" s="9" t="str">
        <f>IFERROR(__xludf.DUMMYFUNCTION("""COMPUTED_VALUE"""),"觀光事業科")</f>
        <v>觀光事業科</v>
      </c>
      <c r="F1050" s="9" t="str">
        <f>IFERROR(__xludf.DUMMYFUNCTION("""COMPUTED_VALUE"""),"二年級")</f>
        <v>二年級</v>
      </c>
      <c r="G1050" s="9" t="str">
        <f>IFERROR(__xludf.DUMMYFUNCTION("""COMPUTED_VALUE"""),"獎狀")</f>
        <v>獎狀</v>
      </c>
      <c r="H1050" s="9"/>
    </row>
    <row r="1051">
      <c r="A1051" s="13" t="s">
        <v>11</v>
      </c>
      <c r="B1051" s="9" t="str">
        <f>IFERROR(__xludf.DUMMYFUNCTION("""COMPUTED_VALUE"""),"陳O瑄")</f>
        <v>陳O瑄</v>
      </c>
      <c r="C1051" s="9" t="str">
        <f>IFERROR(__xludf.DUMMYFUNCTION("""COMPUTED_VALUE"""),"112*****@stu.smvhs.kh.edu.tw")</f>
        <v>112*****@stu.smvhs.kh.edu.tw</v>
      </c>
      <c r="D1051" s="9" t="str">
        <f>IFERROR(__xludf.DUMMYFUNCTION("""COMPUTED_VALUE"""),"高雄市立三民高級家事商業職業學校")</f>
        <v>高雄市立三民高級家事商業職業學校</v>
      </c>
      <c r="E1051" s="9" t="str">
        <f>IFERROR(__xludf.DUMMYFUNCTION("""COMPUTED_VALUE"""),"觀光事業科")</f>
        <v>觀光事業科</v>
      </c>
      <c r="F1051" s="9" t="str">
        <f>IFERROR(__xludf.DUMMYFUNCTION("""COMPUTED_VALUE"""),"二年級")</f>
        <v>二年級</v>
      </c>
      <c r="G1051" s="9" t="str">
        <f>IFERROR(__xludf.DUMMYFUNCTION("""COMPUTED_VALUE"""),"★商品卡$1000")</f>
        <v>★商品卡$1000</v>
      </c>
      <c r="H1051" s="9"/>
    </row>
    <row r="1052">
      <c r="A1052" s="13" t="s">
        <v>11</v>
      </c>
      <c r="B1052" s="9" t="str">
        <f>IFERROR(__xludf.DUMMYFUNCTION("""COMPUTED_VALUE"""),"石O儒")</f>
        <v>石O儒</v>
      </c>
      <c r="C1052" s="9" t="str">
        <f>IFERROR(__xludf.DUMMYFUNCTION("""COMPUTED_VALUE"""),"112*****@stu.smvhs.kh.edu.tw")</f>
        <v>112*****@stu.smvhs.kh.edu.tw</v>
      </c>
      <c r="D1052" s="9" t="str">
        <f>IFERROR(__xludf.DUMMYFUNCTION("""COMPUTED_VALUE"""),"高雄市立三民高級家事商業職業學校")</f>
        <v>高雄市立三民高級家事商業職業學校</v>
      </c>
      <c r="E1052" s="9" t="str">
        <f>IFERROR(__xludf.DUMMYFUNCTION("""COMPUTED_VALUE"""),"觀光事業科")</f>
        <v>觀光事業科</v>
      </c>
      <c r="F1052" s="9" t="str">
        <f>IFERROR(__xludf.DUMMYFUNCTION("""COMPUTED_VALUE"""),"二年級")</f>
        <v>二年級</v>
      </c>
      <c r="G1052" s="9" t="str">
        <f>IFERROR(__xludf.DUMMYFUNCTION("""COMPUTED_VALUE"""),"獎狀")</f>
        <v>獎狀</v>
      </c>
      <c r="H1052" s="9"/>
    </row>
    <row r="1053">
      <c r="A1053" s="13" t="s">
        <v>11</v>
      </c>
      <c r="B1053" s="9" t="str">
        <f>IFERROR(__xludf.DUMMYFUNCTION("""COMPUTED_VALUE"""),"杜O林")</f>
        <v>杜O林</v>
      </c>
      <c r="C1053" s="9" t="str">
        <f>IFERROR(__xludf.DUMMYFUNCTION("""COMPUTED_VALUE"""),"112*****@stu.smvhs.kh.edu.tw")</f>
        <v>112*****@stu.smvhs.kh.edu.tw</v>
      </c>
      <c r="D1053" s="9" t="str">
        <f>IFERROR(__xludf.DUMMYFUNCTION("""COMPUTED_VALUE"""),"高雄市立三民高級家事商業職業學校")</f>
        <v>高雄市立三民高級家事商業職業學校</v>
      </c>
      <c r="E1053" s="9" t="str">
        <f>IFERROR(__xludf.DUMMYFUNCTION("""COMPUTED_VALUE"""),"觀光事業科")</f>
        <v>觀光事業科</v>
      </c>
      <c r="F1053" s="9" t="str">
        <f>IFERROR(__xludf.DUMMYFUNCTION("""COMPUTED_VALUE"""),"二年級")</f>
        <v>二年級</v>
      </c>
      <c r="G1053" s="9" t="str">
        <f>IFERROR(__xludf.DUMMYFUNCTION("""COMPUTED_VALUE"""),"獎狀")</f>
        <v>獎狀</v>
      </c>
      <c r="H1053" s="9"/>
    </row>
    <row r="1054">
      <c r="A1054" s="13" t="s">
        <v>11</v>
      </c>
      <c r="B1054" s="9" t="str">
        <f>IFERROR(__xludf.DUMMYFUNCTION("""COMPUTED_VALUE"""),"梁O蜜")</f>
        <v>梁O蜜</v>
      </c>
      <c r="C1054" s="9" t="str">
        <f>IFERROR(__xludf.DUMMYFUNCTION("""COMPUTED_VALUE"""),"112*****@stu.smvhs.kh.edu.tw")</f>
        <v>112*****@stu.smvhs.kh.edu.tw</v>
      </c>
      <c r="D1054" s="9" t="str">
        <f>IFERROR(__xludf.DUMMYFUNCTION("""COMPUTED_VALUE"""),"高雄市立三民高級家事商業職業學校")</f>
        <v>高雄市立三民高級家事商業職業學校</v>
      </c>
      <c r="E1054" s="9" t="str">
        <f>IFERROR(__xludf.DUMMYFUNCTION("""COMPUTED_VALUE"""),"觀光事業科")</f>
        <v>觀光事業科</v>
      </c>
      <c r="F1054" s="9" t="str">
        <f>IFERROR(__xludf.DUMMYFUNCTION("""COMPUTED_VALUE"""),"二年級")</f>
        <v>二年級</v>
      </c>
      <c r="G1054" s="9" t="str">
        <f>IFERROR(__xludf.DUMMYFUNCTION("""COMPUTED_VALUE"""),"獎狀")</f>
        <v>獎狀</v>
      </c>
      <c r="H1054" s="9"/>
    </row>
    <row r="1055">
      <c r="A1055" s="13" t="s">
        <v>11</v>
      </c>
      <c r="B1055" s="9" t="str">
        <f>IFERROR(__xludf.DUMMYFUNCTION("""COMPUTED_VALUE"""),"林O全")</f>
        <v>林O全</v>
      </c>
      <c r="C1055" s="9" t="str">
        <f>IFERROR(__xludf.DUMMYFUNCTION("""COMPUTED_VALUE"""),"112*****@stu.smvhs.kh.edu.tw")</f>
        <v>112*****@stu.smvhs.kh.edu.tw</v>
      </c>
      <c r="D1055" s="9" t="str">
        <f>IFERROR(__xludf.DUMMYFUNCTION("""COMPUTED_VALUE"""),"高雄市立三民高級家事商業職業學校")</f>
        <v>高雄市立三民高級家事商業職業學校</v>
      </c>
      <c r="E1055" s="9" t="str">
        <f>IFERROR(__xludf.DUMMYFUNCTION("""COMPUTED_VALUE"""),"觀光事業科")</f>
        <v>觀光事業科</v>
      </c>
      <c r="F1055" s="9" t="str">
        <f>IFERROR(__xludf.DUMMYFUNCTION("""COMPUTED_VALUE"""),"二年級")</f>
        <v>二年級</v>
      </c>
      <c r="G1055" s="9" t="str">
        <f>IFERROR(__xludf.DUMMYFUNCTION("""COMPUTED_VALUE"""),"★商品卡$1000")</f>
        <v>★商品卡$1000</v>
      </c>
      <c r="H1055" s="9"/>
    </row>
    <row r="1056">
      <c r="A1056" s="13" t="s">
        <v>11</v>
      </c>
      <c r="B1056" s="9" t="str">
        <f>IFERROR(__xludf.DUMMYFUNCTION("""COMPUTED_VALUE"""),"陳O庭")</f>
        <v>陳O庭</v>
      </c>
      <c r="C1056" s="9" t="str">
        <f>IFERROR(__xludf.DUMMYFUNCTION("""COMPUTED_VALUE"""),"112*****@stu.smvhs.kh.edu.tw")</f>
        <v>112*****@stu.smvhs.kh.edu.tw</v>
      </c>
      <c r="D1056" s="9" t="str">
        <f>IFERROR(__xludf.DUMMYFUNCTION("""COMPUTED_VALUE"""),"高雄市立三民高級家事商業職業學校")</f>
        <v>高雄市立三民高級家事商業職業學校</v>
      </c>
      <c r="E1056" s="9" t="str">
        <f>IFERROR(__xludf.DUMMYFUNCTION("""COMPUTED_VALUE"""),"觀光事業科")</f>
        <v>觀光事業科</v>
      </c>
      <c r="F1056" s="9" t="str">
        <f>IFERROR(__xludf.DUMMYFUNCTION("""COMPUTED_VALUE"""),"二年級")</f>
        <v>二年級</v>
      </c>
      <c r="G1056" s="9" t="str">
        <f>IFERROR(__xludf.DUMMYFUNCTION("""COMPUTED_VALUE"""),"獎狀")</f>
        <v>獎狀</v>
      </c>
      <c r="H1056" s="9"/>
    </row>
    <row r="1057">
      <c r="A1057" s="13" t="s">
        <v>11</v>
      </c>
      <c r="B1057" s="9" t="str">
        <f>IFERROR(__xludf.DUMMYFUNCTION("""COMPUTED_VALUE"""),"辜O秦")</f>
        <v>辜O秦</v>
      </c>
      <c r="C1057" s="9" t="str">
        <f>IFERROR(__xludf.DUMMYFUNCTION("""COMPUTED_VALUE"""),"112*****@stu.smvhs.kh.edu.tw")</f>
        <v>112*****@stu.smvhs.kh.edu.tw</v>
      </c>
      <c r="D1057" s="9" t="str">
        <f>IFERROR(__xludf.DUMMYFUNCTION("""COMPUTED_VALUE"""),"高雄市立三民高級家事商業職業學校")</f>
        <v>高雄市立三民高級家事商業職業學校</v>
      </c>
      <c r="E1057" s="9" t="str">
        <f>IFERROR(__xludf.DUMMYFUNCTION("""COMPUTED_VALUE"""),"觀光事業科")</f>
        <v>觀光事業科</v>
      </c>
      <c r="F1057" s="9" t="str">
        <f>IFERROR(__xludf.DUMMYFUNCTION("""COMPUTED_VALUE"""),"二年級")</f>
        <v>二年級</v>
      </c>
      <c r="G1057" s="9" t="str">
        <f>IFERROR(__xludf.DUMMYFUNCTION("""COMPUTED_VALUE"""),"★商品卡$1000")</f>
        <v>★商品卡$1000</v>
      </c>
      <c r="H1057" s="9"/>
    </row>
    <row r="1058">
      <c r="A1058" s="13" t="s">
        <v>11</v>
      </c>
      <c r="B1058" s="9" t="str">
        <f>IFERROR(__xludf.DUMMYFUNCTION("""COMPUTED_VALUE"""),"許O睿")</f>
        <v>許O睿</v>
      </c>
      <c r="C1058" s="9" t="str">
        <f>IFERROR(__xludf.DUMMYFUNCTION("""COMPUTED_VALUE"""),"112*****@stu.smvhs.kh.edu.tw")</f>
        <v>112*****@stu.smvhs.kh.edu.tw</v>
      </c>
      <c r="D1058" s="9" t="str">
        <f>IFERROR(__xludf.DUMMYFUNCTION("""COMPUTED_VALUE"""),"高雄市立三民高級家事商業職業學校")</f>
        <v>高雄市立三民高級家事商業職業學校</v>
      </c>
      <c r="E1058" s="9" t="str">
        <f>IFERROR(__xludf.DUMMYFUNCTION("""COMPUTED_VALUE"""),"觀光事業科")</f>
        <v>觀光事業科</v>
      </c>
      <c r="F1058" s="9" t="str">
        <f>IFERROR(__xludf.DUMMYFUNCTION("""COMPUTED_VALUE"""),"二年級")</f>
        <v>二年級</v>
      </c>
      <c r="G1058" s="9" t="str">
        <f>IFERROR(__xludf.DUMMYFUNCTION("""COMPUTED_VALUE"""),"獎狀")</f>
        <v>獎狀</v>
      </c>
      <c r="H1058" s="9"/>
    </row>
    <row r="1059">
      <c r="A1059" s="13" t="s">
        <v>11</v>
      </c>
      <c r="B1059" s="9" t="str">
        <f>IFERROR(__xludf.DUMMYFUNCTION("""COMPUTED_VALUE"""),"楊O晴")</f>
        <v>楊O晴</v>
      </c>
      <c r="C1059" s="9" t="str">
        <f>IFERROR(__xludf.DUMMYFUNCTION("""COMPUTED_VALUE"""),"112*****@stu.smvhs.kh.edu.tw")</f>
        <v>112*****@stu.smvhs.kh.edu.tw</v>
      </c>
      <c r="D1059" s="9" t="str">
        <f>IFERROR(__xludf.DUMMYFUNCTION("""COMPUTED_VALUE"""),"高雄市立三民高級家事商業職業學校")</f>
        <v>高雄市立三民高級家事商業職業學校</v>
      </c>
      <c r="E1059" s="9" t="str">
        <f>IFERROR(__xludf.DUMMYFUNCTION("""COMPUTED_VALUE"""),"觀光事業科")</f>
        <v>觀光事業科</v>
      </c>
      <c r="F1059" s="9" t="str">
        <f>IFERROR(__xludf.DUMMYFUNCTION("""COMPUTED_VALUE"""),"二年級")</f>
        <v>二年級</v>
      </c>
      <c r="G1059" s="9" t="str">
        <f>IFERROR(__xludf.DUMMYFUNCTION("""COMPUTED_VALUE"""),"獎狀")</f>
        <v>獎狀</v>
      </c>
      <c r="H1059" s="9"/>
    </row>
    <row r="1060">
      <c r="A1060" s="13" t="s">
        <v>11</v>
      </c>
      <c r="B1060" s="9" t="str">
        <f>IFERROR(__xludf.DUMMYFUNCTION("""COMPUTED_VALUE"""),"郭O蓉")</f>
        <v>郭O蓉</v>
      </c>
      <c r="C1060" s="9" t="str">
        <f>IFERROR(__xludf.DUMMYFUNCTION("""COMPUTED_VALUE"""),"flo*****961220@gmail.com")</f>
        <v>flo*****961220@gmail.com</v>
      </c>
      <c r="D1060" s="9" t="str">
        <f>IFERROR(__xludf.DUMMYFUNCTION("""COMPUTED_VALUE"""),"高雄市立三民高級家事商業職業學校")</f>
        <v>高雄市立三民高級家事商業職業學校</v>
      </c>
      <c r="E1060" s="9" t="str">
        <f>IFERROR(__xludf.DUMMYFUNCTION("""COMPUTED_VALUE"""),"觀光事業科")</f>
        <v>觀光事業科</v>
      </c>
      <c r="F1060" s="9" t="str">
        <f>IFERROR(__xludf.DUMMYFUNCTION("""COMPUTED_VALUE"""),"二年級")</f>
        <v>二年級</v>
      </c>
      <c r="G1060" s="9" t="str">
        <f>IFERROR(__xludf.DUMMYFUNCTION("""COMPUTED_VALUE"""),"獎狀")</f>
        <v>獎狀</v>
      </c>
      <c r="H1060" s="9"/>
    </row>
    <row r="1061">
      <c r="A1061" s="13" t="s">
        <v>11</v>
      </c>
      <c r="B1061" s="9" t="str">
        <f>IFERROR(__xludf.DUMMYFUNCTION("""COMPUTED_VALUE"""),"雷O芯")</f>
        <v>雷O芯</v>
      </c>
      <c r="C1061" s="9" t="str">
        <f>IFERROR(__xludf.DUMMYFUNCTION("""COMPUTED_VALUE"""),"ahu*****no@gmail.com")</f>
        <v>ahu*****no@gmail.com</v>
      </c>
      <c r="D1061" s="9" t="str">
        <f>IFERROR(__xludf.DUMMYFUNCTION("""COMPUTED_VALUE"""),"國立鳳山高級商工職業學校")</f>
        <v>國立鳳山高級商工職業學校</v>
      </c>
      <c r="E1061" s="9" t="str">
        <f>IFERROR(__xludf.DUMMYFUNCTION("""COMPUTED_VALUE"""),"觀光事業科")</f>
        <v>觀光事業科</v>
      </c>
      <c r="F1061" s="9" t="str">
        <f>IFERROR(__xludf.DUMMYFUNCTION("""COMPUTED_VALUE"""),"一年級")</f>
        <v>一年級</v>
      </c>
      <c r="G1061" s="9" t="str">
        <f>IFERROR(__xludf.DUMMYFUNCTION("""COMPUTED_VALUE"""),"獎狀")</f>
        <v>獎狀</v>
      </c>
      <c r="H1061" s="11" t="str">
        <f>IFERROR(__xludf.DUMMYFUNCTION("""COMPUTED_VALUE"""),"學籍資料不齊，請提供【就讀班級】")</f>
        <v>學籍資料不齊，請提供【就讀班級】</v>
      </c>
    </row>
    <row r="1062">
      <c r="A1062" s="13" t="s">
        <v>11</v>
      </c>
      <c r="B1062" s="9" t="str">
        <f>IFERROR(__xludf.DUMMYFUNCTION("""COMPUTED_VALUE"""),"黃O䄖")</f>
        <v>黃O䄖</v>
      </c>
      <c r="C1062" s="9" t="str">
        <f>IFERROR(__xludf.DUMMYFUNCTION("""COMPUTED_VALUE"""),"316*****s.csvs.khc.edu.tw")</f>
        <v>316*****s.csvs.khc.edu.tw</v>
      </c>
      <c r="D1062" s="9" t="str">
        <f>IFERROR(__xludf.DUMMYFUNCTION("""COMPUTED_VALUE"""),"國立旗山高級農工職業學校")</f>
        <v>國立旗山高級農工職業學校</v>
      </c>
      <c r="E1062" s="9" t="str">
        <f>IFERROR(__xludf.DUMMYFUNCTION("""COMPUTED_VALUE"""),"汽車科")</f>
        <v>汽車科</v>
      </c>
      <c r="F1062" s="9" t="str">
        <f>IFERROR(__xludf.DUMMYFUNCTION("""COMPUTED_VALUE"""),"二年級")</f>
        <v>二年級</v>
      </c>
      <c r="G1062" s="9" t="str">
        <f>IFERROR(__xludf.DUMMYFUNCTION("""COMPUTED_VALUE"""),"獎狀")</f>
        <v>獎狀</v>
      </c>
      <c r="H1062" s="9"/>
    </row>
    <row r="1063">
      <c r="A1063" s="13" t="s">
        <v>11</v>
      </c>
      <c r="B1063" s="9" t="str">
        <f>IFERROR(__xludf.DUMMYFUNCTION("""COMPUTED_VALUE"""),"陳O駿")</f>
        <v>陳O駿</v>
      </c>
      <c r="C1063" s="9" t="str">
        <f>IFERROR(__xludf.DUMMYFUNCTION("""COMPUTED_VALUE"""),"313*****s.csvs.khc.edu.tw")</f>
        <v>313*****s.csvs.khc.edu.tw</v>
      </c>
      <c r="D1063" s="9" t="str">
        <f>IFERROR(__xludf.DUMMYFUNCTION("""COMPUTED_VALUE"""),"國立旗山高級農工職業學校")</f>
        <v>國立旗山高級農工職業學校</v>
      </c>
      <c r="E1063" s="9" t="str">
        <f>IFERROR(__xludf.DUMMYFUNCTION("""COMPUTED_VALUE"""),"食品加工科")</f>
        <v>食品加工科</v>
      </c>
      <c r="F1063" s="9" t="str">
        <f>IFERROR(__xludf.DUMMYFUNCTION("""COMPUTED_VALUE"""),"二年級")</f>
        <v>二年級</v>
      </c>
      <c r="G1063" s="9" t="str">
        <f>IFERROR(__xludf.DUMMYFUNCTION("""COMPUTED_VALUE"""),"■商品卡$200")</f>
        <v>■商品卡$200</v>
      </c>
      <c r="H1063" s="9"/>
    </row>
    <row r="1064">
      <c r="A1064" s="13" t="s">
        <v>11</v>
      </c>
      <c r="B1064" s="9" t="str">
        <f>IFERROR(__xludf.DUMMYFUNCTION("""COMPUTED_VALUE"""),"劉O姍")</f>
        <v>劉O姍</v>
      </c>
      <c r="C1064" s="9" t="str">
        <f>IFERROR(__xludf.DUMMYFUNCTION("""COMPUTED_VALUE"""),"219*****s.csvs.khc.edu.tw")</f>
        <v>219*****s.csvs.khc.edu.tw</v>
      </c>
      <c r="D1064" s="9" t="str">
        <f>IFERROR(__xludf.DUMMYFUNCTION("""COMPUTED_VALUE"""),"國立旗山高級農工職業學校")</f>
        <v>國立旗山高級農工職業學校</v>
      </c>
      <c r="E1064" s="9" t="str">
        <f>IFERROR(__xludf.DUMMYFUNCTION("""COMPUTED_VALUE"""),"家政科")</f>
        <v>家政科</v>
      </c>
      <c r="F1064" s="9" t="str">
        <f>IFERROR(__xludf.DUMMYFUNCTION("""COMPUTED_VALUE"""),"三年級")</f>
        <v>三年級</v>
      </c>
      <c r="G1064" s="9" t="str">
        <f>IFERROR(__xludf.DUMMYFUNCTION("""COMPUTED_VALUE"""),"獎狀")</f>
        <v>獎狀</v>
      </c>
      <c r="H1064" s="9"/>
    </row>
    <row r="1065">
      <c r="A1065" s="13" t="s">
        <v>11</v>
      </c>
      <c r="B1065" s="9" t="str">
        <f>IFERROR(__xludf.DUMMYFUNCTION("""COMPUTED_VALUE"""),"林O辰")</f>
        <v>林O辰</v>
      </c>
      <c r="C1065" s="9" t="str">
        <f>IFERROR(__xludf.DUMMYFUNCTION("""COMPUTED_VALUE"""),"219*****s.csvs.khc.edu.tw")</f>
        <v>219*****s.csvs.khc.edu.tw</v>
      </c>
      <c r="D1065" s="9" t="str">
        <f>IFERROR(__xludf.DUMMYFUNCTION("""COMPUTED_VALUE"""),"國立旗山高級農工職業學校")</f>
        <v>國立旗山高級農工職業學校</v>
      </c>
      <c r="E1065" s="9" t="str">
        <f>IFERROR(__xludf.DUMMYFUNCTION("""COMPUTED_VALUE"""),"家政科")</f>
        <v>家政科</v>
      </c>
      <c r="F1065" s="9" t="str">
        <f>IFERROR(__xludf.DUMMYFUNCTION("""COMPUTED_VALUE"""),"三年級")</f>
        <v>三年級</v>
      </c>
      <c r="G1065" s="9" t="str">
        <f>IFERROR(__xludf.DUMMYFUNCTION("""COMPUTED_VALUE"""),"獎狀")</f>
        <v>獎狀</v>
      </c>
      <c r="H1065" s="9"/>
    </row>
    <row r="1066">
      <c r="A1066" s="13" t="s">
        <v>11</v>
      </c>
      <c r="B1066" s="9" t="str">
        <f>IFERROR(__xludf.DUMMYFUNCTION("""COMPUTED_VALUE"""),"陳O琳")</f>
        <v>陳O琳</v>
      </c>
      <c r="C1066" s="9" t="str">
        <f>IFERROR(__xludf.DUMMYFUNCTION("""COMPUTED_VALUE"""),"214*****s.csvs.khc.edu.tw")</f>
        <v>214*****s.csvs.khc.edu.tw</v>
      </c>
      <c r="D1066" s="9" t="str">
        <f>IFERROR(__xludf.DUMMYFUNCTION("""COMPUTED_VALUE"""),"國立旗山高級農工職業學校")</f>
        <v>國立旗山高級農工職業學校</v>
      </c>
      <c r="E1066" s="9" t="str">
        <f>IFERROR(__xludf.DUMMYFUNCTION("""COMPUTED_VALUE"""),"畜產保健科")</f>
        <v>畜產保健科</v>
      </c>
      <c r="F1066" s="9" t="str">
        <f>IFERROR(__xludf.DUMMYFUNCTION("""COMPUTED_VALUE"""),"三年級")</f>
        <v>三年級</v>
      </c>
      <c r="G1066" s="9" t="str">
        <f>IFERROR(__xludf.DUMMYFUNCTION("""COMPUTED_VALUE"""),"獎狀")</f>
        <v>獎狀</v>
      </c>
      <c r="H1066" s="9"/>
    </row>
    <row r="1067">
      <c r="A1067" s="13" t="s">
        <v>11</v>
      </c>
      <c r="B1067" s="9" t="str">
        <f>IFERROR(__xludf.DUMMYFUNCTION("""COMPUTED_VALUE"""),"邱O宸")</f>
        <v>邱O宸</v>
      </c>
      <c r="C1067" s="9" t="str">
        <f>IFERROR(__xludf.DUMMYFUNCTION("""COMPUTED_VALUE"""),"214*****s.csvs.khc.edu.tw")</f>
        <v>214*****s.csvs.khc.edu.tw</v>
      </c>
      <c r="D1067" s="9" t="str">
        <f>IFERROR(__xludf.DUMMYFUNCTION("""COMPUTED_VALUE"""),"國立旗山高級農工職業學校")</f>
        <v>國立旗山高級農工職業學校</v>
      </c>
      <c r="E1067" s="9" t="str">
        <f>IFERROR(__xludf.DUMMYFUNCTION("""COMPUTED_VALUE"""),"畜產保健科")</f>
        <v>畜產保健科</v>
      </c>
      <c r="F1067" s="9" t="str">
        <f>IFERROR(__xludf.DUMMYFUNCTION("""COMPUTED_VALUE"""),"三年級")</f>
        <v>三年級</v>
      </c>
      <c r="G1067" s="9" t="str">
        <f>IFERROR(__xludf.DUMMYFUNCTION("""COMPUTED_VALUE"""),"獎狀")</f>
        <v>獎狀</v>
      </c>
      <c r="H1067" s="9"/>
    </row>
    <row r="1068">
      <c r="A1068" s="13" t="s">
        <v>11</v>
      </c>
      <c r="B1068" s="9" t="str">
        <f>IFERROR(__xludf.DUMMYFUNCTION("""COMPUTED_VALUE"""),"洪O程")</f>
        <v>洪O程</v>
      </c>
      <c r="C1068" s="9" t="str">
        <f>IFERROR(__xludf.DUMMYFUNCTION("""COMPUTED_VALUE"""),"217*****s.csvs.khc.edu.tw")</f>
        <v>217*****s.csvs.khc.edu.tw</v>
      </c>
      <c r="D1068" s="9" t="str">
        <f>IFERROR(__xludf.DUMMYFUNCTION("""COMPUTED_VALUE"""),"國立旗山高級農工職業學校")</f>
        <v>國立旗山高級農工職業學校</v>
      </c>
      <c r="E1068" s="9" t="str">
        <f>IFERROR(__xludf.DUMMYFUNCTION("""COMPUTED_VALUE"""),"電機科")</f>
        <v>電機科</v>
      </c>
      <c r="F1068" s="9" t="str">
        <f>IFERROR(__xludf.DUMMYFUNCTION("""COMPUTED_VALUE"""),"三年級")</f>
        <v>三年級</v>
      </c>
      <c r="G1068" s="9" t="str">
        <f>IFERROR(__xludf.DUMMYFUNCTION("""COMPUTED_VALUE"""),"獎狀")</f>
        <v>獎狀</v>
      </c>
      <c r="H1068" s="9"/>
    </row>
    <row r="1069">
      <c r="A1069" s="13" t="s">
        <v>11</v>
      </c>
      <c r="B1069" s="9" t="str">
        <f>IFERROR(__xludf.DUMMYFUNCTION("""COMPUTED_VALUE"""),"湯O銘")</f>
        <v>湯O銘</v>
      </c>
      <c r="C1069" s="9" t="str">
        <f>IFERROR(__xludf.DUMMYFUNCTION("""COMPUTED_VALUE"""),"217*****s.csvs.khc.edu.tw")</f>
        <v>217*****s.csvs.khc.edu.tw</v>
      </c>
      <c r="D1069" s="9" t="str">
        <f>IFERROR(__xludf.DUMMYFUNCTION("""COMPUTED_VALUE"""),"國立旗山高級農工職業學校")</f>
        <v>國立旗山高級農工職業學校</v>
      </c>
      <c r="E1069" s="9" t="str">
        <f>IFERROR(__xludf.DUMMYFUNCTION("""COMPUTED_VALUE"""),"電機科")</f>
        <v>電機科</v>
      </c>
      <c r="F1069" s="9" t="str">
        <f>IFERROR(__xludf.DUMMYFUNCTION("""COMPUTED_VALUE"""),"三年級")</f>
        <v>三年級</v>
      </c>
      <c r="G1069" s="9" t="str">
        <f>IFERROR(__xludf.DUMMYFUNCTION("""COMPUTED_VALUE"""),"獎狀")</f>
        <v>獎狀</v>
      </c>
      <c r="H1069" s="9"/>
    </row>
    <row r="1070">
      <c r="A1070" s="13" t="s">
        <v>11</v>
      </c>
      <c r="B1070" s="9" t="str">
        <f>IFERROR(__xludf.DUMMYFUNCTION("""COMPUTED_VALUE"""),"宋O璽")</f>
        <v>宋O璽</v>
      </c>
      <c r="C1070" s="9" t="str">
        <f>IFERROR(__xludf.DUMMYFUNCTION("""COMPUTED_VALUE"""),"217*****s.csvs.khc.edu.tw")</f>
        <v>217*****s.csvs.khc.edu.tw</v>
      </c>
      <c r="D1070" s="9" t="str">
        <f>IFERROR(__xludf.DUMMYFUNCTION("""COMPUTED_VALUE"""),"國立旗山高級農工職業學校")</f>
        <v>國立旗山高級農工職業學校</v>
      </c>
      <c r="E1070" s="9" t="str">
        <f>IFERROR(__xludf.DUMMYFUNCTION("""COMPUTED_VALUE"""),"電機科")</f>
        <v>電機科</v>
      </c>
      <c r="F1070" s="9" t="str">
        <f>IFERROR(__xludf.DUMMYFUNCTION("""COMPUTED_VALUE"""),"三年級")</f>
        <v>三年級</v>
      </c>
      <c r="G1070" s="9" t="str">
        <f>IFERROR(__xludf.DUMMYFUNCTION("""COMPUTED_VALUE"""),"○商品卡$500")</f>
        <v>○商品卡$500</v>
      </c>
      <c r="H1070" s="9"/>
    </row>
    <row r="1071">
      <c r="A1071" s="13" t="s">
        <v>11</v>
      </c>
      <c r="B1071" s="9" t="str">
        <f>IFERROR(__xludf.DUMMYFUNCTION("""COMPUTED_VALUE"""),"施O穎")</f>
        <v>施O穎</v>
      </c>
      <c r="C1071" s="9" t="str">
        <f>IFERROR(__xludf.DUMMYFUNCTION("""COMPUTED_VALUE"""),"217*****s.csvs.khc.edu.tw")</f>
        <v>217*****s.csvs.khc.edu.tw</v>
      </c>
      <c r="D1071" s="9" t="str">
        <f>IFERROR(__xludf.DUMMYFUNCTION("""COMPUTED_VALUE"""),"國立旗山高級農工職業學校")</f>
        <v>國立旗山高級農工職業學校</v>
      </c>
      <c r="E1071" s="9" t="str">
        <f>IFERROR(__xludf.DUMMYFUNCTION("""COMPUTED_VALUE"""),"電機科")</f>
        <v>電機科</v>
      </c>
      <c r="F1071" s="9" t="str">
        <f>IFERROR(__xludf.DUMMYFUNCTION("""COMPUTED_VALUE"""),"三年級")</f>
        <v>三年級</v>
      </c>
      <c r="G1071" s="9" t="str">
        <f>IFERROR(__xludf.DUMMYFUNCTION("""COMPUTED_VALUE"""),"獎狀")</f>
        <v>獎狀</v>
      </c>
      <c r="H1071" s="9"/>
    </row>
    <row r="1072">
      <c r="A1072" s="13" t="s">
        <v>11</v>
      </c>
      <c r="B1072" s="9" t="str">
        <f>IFERROR(__xludf.DUMMYFUNCTION("""COMPUTED_VALUE"""),"李O安")</f>
        <v>李O安</v>
      </c>
      <c r="C1072" s="9" t="str">
        <f>IFERROR(__xludf.DUMMYFUNCTION("""COMPUTED_VALUE"""),"217*****s.csvs.khc.edu.tw")</f>
        <v>217*****s.csvs.khc.edu.tw</v>
      </c>
      <c r="D1072" s="9" t="str">
        <f>IFERROR(__xludf.DUMMYFUNCTION("""COMPUTED_VALUE"""),"國立旗山高級農工職業學校")</f>
        <v>國立旗山高級農工職業學校</v>
      </c>
      <c r="E1072" s="9" t="str">
        <f>IFERROR(__xludf.DUMMYFUNCTION("""COMPUTED_VALUE"""),"電機科")</f>
        <v>電機科</v>
      </c>
      <c r="F1072" s="9" t="str">
        <f>IFERROR(__xludf.DUMMYFUNCTION("""COMPUTED_VALUE"""),"三年級")</f>
        <v>三年級</v>
      </c>
      <c r="G1072" s="9" t="str">
        <f>IFERROR(__xludf.DUMMYFUNCTION("""COMPUTED_VALUE"""),"獎狀")</f>
        <v>獎狀</v>
      </c>
      <c r="H1072" s="9"/>
    </row>
    <row r="1073">
      <c r="A1073" s="13" t="s">
        <v>11</v>
      </c>
      <c r="B1073" s="9" t="str">
        <f>IFERROR(__xludf.DUMMYFUNCTION("""COMPUTED_VALUE"""),"林O得")</f>
        <v>林O得</v>
      </c>
      <c r="C1073" s="9" t="str">
        <f>IFERROR(__xludf.DUMMYFUNCTION("""COMPUTED_VALUE"""),"217*****s.csvs.khc.edu.tw")</f>
        <v>217*****s.csvs.khc.edu.tw</v>
      </c>
      <c r="D1073" s="9" t="str">
        <f>IFERROR(__xludf.DUMMYFUNCTION("""COMPUTED_VALUE"""),"國立旗山高級農工職業學校")</f>
        <v>國立旗山高級農工職業學校</v>
      </c>
      <c r="E1073" s="9" t="str">
        <f>IFERROR(__xludf.DUMMYFUNCTION("""COMPUTED_VALUE"""),"電機科")</f>
        <v>電機科</v>
      </c>
      <c r="F1073" s="9" t="str">
        <f>IFERROR(__xludf.DUMMYFUNCTION("""COMPUTED_VALUE"""),"三年級")</f>
        <v>三年級</v>
      </c>
      <c r="G1073" s="9" t="str">
        <f>IFERROR(__xludf.DUMMYFUNCTION("""COMPUTED_VALUE"""),"獎狀")</f>
        <v>獎狀</v>
      </c>
      <c r="H1073" s="9"/>
    </row>
    <row r="1074">
      <c r="A1074" s="13" t="s">
        <v>11</v>
      </c>
      <c r="B1074" s="9" t="str">
        <f>IFERROR(__xludf.DUMMYFUNCTION("""COMPUTED_VALUE"""),"陳O安")</f>
        <v>陳O安</v>
      </c>
      <c r="C1074" s="9" t="str">
        <f>IFERROR(__xludf.DUMMYFUNCTION("""COMPUTED_VALUE"""),"chp*****.103080@mail.edu.tw")</f>
        <v>chp*****.103080@mail.edu.tw</v>
      </c>
      <c r="D1074" s="9" t="str">
        <f>IFERROR(__xludf.DUMMYFUNCTION("""COMPUTED_VALUE"""),"國立馬公高級中學")</f>
        <v>國立馬公高級中學</v>
      </c>
      <c r="E1074" s="9" t="str">
        <f>IFERROR(__xludf.DUMMYFUNCTION("""COMPUTED_VALUE"""),"觀光科")</f>
        <v>觀光科</v>
      </c>
      <c r="F1074" s="9" t="str">
        <f>IFERROR(__xludf.DUMMYFUNCTION("""COMPUTED_VALUE"""),"三年級")</f>
        <v>三年級</v>
      </c>
      <c r="G1074" s="9" t="str">
        <f>IFERROR(__xludf.DUMMYFUNCTION("""COMPUTED_VALUE"""),"獎狀")</f>
        <v>獎狀</v>
      </c>
      <c r="H1074" s="9"/>
    </row>
    <row r="1075">
      <c r="A1075" s="13" t="s">
        <v>11</v>
      </c>
      <c r="B1075" s="9" t="str">
        <f>IFERROR(__xludf.DUMMYFUNCTION("""COMPUTED_VALUE"""),"張O豐")</f>
        <v>張O豐</v>
      </c>
      <c r="C1075" s="9" t="str">
        <f>IFERROR(__xludf.DUMMYFUNCTION("""COMPUTED_VALUE"""),"phc*****75@mail.edu.tw")</f>
        <v>phc*****75@mail.edu.tw</v>
      </c>
      <c r="D1075" s="9" t="str">
        <f>IFERROR(__xludf.DUMMYFUNCTION("""COMPUTED_VALUE"""),"國立澎湖高級海事水產職業學校")</f>
        <v>國立澎湖高級海事水產職業學校</v>
      </c>
      <c r="E1075" s="9" t="str">
        <f>IFERROR(__xludf.DUMMYFUNCTION("""COMPUTED_VALUE"""),"資訊科")</f>
        <v>資訊科</v>
      </c>
      <c r="F1075" s="9" t="str">
        <f>IFERROR(__xludf.DUMMYFUNCTION("""COMPUTED_VALUE"""),"二年級")</f>
        <v>二年級</v>
      </c>
      <c r="G1075" s="9" t="str">
        <f>IFERROR(__xludf.DUMMYFUNCTION("""COMPUTED_VALUE"""),"獎狀")</f>
        <v>獎狀</v>
      </c>
      <c r="H1075" s="11" t="str">
        <f>IFERROR(__xludf.DUMMYFUNCTION("""COMPUTED_VALUE"""),"學籍資料不齊，請提供【就讀班級】")</f>
        <v>學籍資料不齊，請提供【就讀班級】</v>
      </c>
    </row>
    <row r="1076">
      <c r="A1076" s="13" t="s">
        <v>11</v>
      </c>
      <c r="B1076" s="9" t="str">
        <f>IFERROR(__xludf.DUMMYFUNCTION("""COMPUTED_VALUE"""),"張O裕")</f>
        <v>張O裕</v>
      </c>
      <c r="C1076" s="9" t="str">
        <f>IFERROR(__xludf.DUMMYFUNCTION("""COMPUTED_VALUE"""),"clo*****ooo2015@gmail.com")</f>
        <v>clo*****ooo2015@gmail.com</v>
      </c>
      <c r="D1076" s="9" t="str">
        <f>IFERROR(__xludf.DUMMYFUNCTION("""COMPUTED_VALUE"""),"國立澎湖高級海事水產職業學校")</f>
        <v>國立澎湖高級海事水產職業學校</v>
      </c>
      <c r="E1076" s="9" t="str">
        <f>IFERROR(__xludf.DUMMYFUNCTION("""COMPUTED_VALUE"""),"資訊科")</f>
        <v>資訊科</v>
      </c>
      <c r="F1076" s="9" t="str">
        <f>IFERROR(__xludf.DUMMYFUNCTION("""COMPUTED_VALUE"""),"二年級")</f>
        <v>二年級</v>
      </c>
      <c r="G1076" s="9" t="str">
        <f>IFERROR(__xludf.DUMMYFUNCTION("""COMPUTED_VALUE"""),"獎狀")</f>
        <v>獎狀</v>
      </c>
      <c r="H1076" s="11" t="str">
        <f>IFERROR(__xludf.DUMMYFUNCTION("""COMPUTED_VALUE"""),"學籍資料不齊，請提供【就讀班級】")</f>
        <v>學籍資料不齊，請提供【就讀班級】</v>
      </c>
    </row>
    <row r="1077">
      <c r="A1077" s="13" t="s">
        <v>11</v>
      </c>
      <c r="B1077" s="9" t="str">
        <f>IFERROR(__xludf.DUMMYFUNCTION("""COMPUTED_VALUE"""),"李O勳")</f>
        <v>李O勳</v>
      </c>
      <c r="C1077" s="9" t="str">
        <f>IFERROR(__xludf.DUMMYFUNCTION("""COMPUTED_VALUE"""),"ccs*****@gmail.com")</f>
        <v>ccs*****@gmail.com</v>
      </c>
      <c r="D1077" s="9" t="str">
        <f>IFERROR(__xludf.DUMMYFUNCTION("""COMPUTED_VALUE"""),"國立澎湖高級海事水產職業學校")</f>
        <v>國立澎湖高級海事水產職業學校</v>
      </c>
      <c r="E1077" s="9" t="str">
        <f>IFERROR(__xludf.DUMMYFUNCTION("""COMPUTED_VALUE"""),"輪機科")</f>
        <v>輪機科</v>
      </c>
      <c r="F1077" s="9" t="str">
        <f>IFERROR(__xludf.DUMMYFUNCTION("""COMPUTED_VALUE"""),"二年級")</f>
        <v>二年級</v>
      </c>
      <c r="G1077" s="9" t="str">
        <f>IFERROR(__xludf.DUMMYFUNCTION("""COMPUTED_VALUE"""),"獎狀")</f>
        <v>獎狀</v>
      </c>
      <c r="H1077" s="9"/>
    </row>
    <row r="1078">
      <c r="A1078" s="13" t="s">
        <v>11</v>
      </c>
      <c r="B1078" s="9" t="str">
        <f>IFERROR(__xludf.DUMMYFUNCTION("""COMPUTED_VALUE"""),"吳O銘")</f>
        <v>吳O銘</v>
      </c>
      <c r="C1078" s="9" t="str">
        <f>IFERROR(__xludf.DUMMYFUNCTION("""COMPUTED_VALUE"""),"nm8*****ail.edu.tw")</f>
        <v>nm8*****ail.edu.tw</v>
      </c>
      <c r="D1078" s="9" t="str">
        <f>IFERROR(__xludf.DUMMYFUNCTION("""COMPUTED_VALUE"""),"屏榮學校財團法人屏東縣屏榮高級中學")</f>
        <v>屏榮學校財團法人屏東縣屏榮高級中學</v>
      </c>
      <c r="E1078" s="9" t="str">
        <f>IFERROR(__xludf.DUMMYFUNCTION("""COMPUTED_VALUE"""),"電子商務科")</f>
        <v>電子商務科</v>
      </c>
      <c r="F1078" s="9" t="str">
        <f>IFERROR(__xludf.DUMMYFUNCTION("""COMPUTED_VALUE"""),"三年級")</f>
        <v>三年級</v>
      </c>
      <c r="G1078" s="9" t="str">
        <f>IFERROR(__xludf.DUMMYFUNCTION("""COMPUTED_VALUE"""),"獎狀")</f>
        <v>獎狀</v>
      </c>
      <c r="H1078" s="9"/>
    </row>
  </sheetData>
  <mergeCells count="1">
    <mergeCell ref="A1:H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3" max="3" width="30.0"/>
    <col customWidth="1" min="4" max="4" width="38.38"/>
    <col customWidth="1" min="5" max="5" width="7.88"/>
    <col customWidth="1" min="6" max="6" width="9.88"/>
    <col customWidth="1" min="7" max="7" width="12.13"/>
    <col customWidth="1" min="8" max="8" width="27.63"/>
  </cols>
  <sheetData>
    <row r="1">
      <c r="A1" s="14" t="s">
        <v>12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4" t="s">
        <v>8</v>
      </c>
    </row>
    <row r="3">
      <c r="A3" s="15" t="s">
        <v>13</v>
      </c>
      <c r="B3" s="6" t="str">
        <f>IFERROR(__xludf.DUMMYFUNCTION("IMPORTRANGE(""https://docs.google.com/spreadsheets/d/1AtUxug2OAe7N5XC0IO8rOe5n_Zu9Pd3NVb8VTGKkI3Q/edit?usp=sharing"",""五_通過(19位)!M3:M"")"),"葉O妤")</f>
        <v>葉O妤</v>
      </c>
      <c r="C3" s="6" t="str">
        <f>IFERROR(__xludf.DUMMYFUNCTION("IMPORTRANGE(""https://docs.google.com/spreadsheets/d/1AtUxug2OAe7N5XC0IO8rOe5n_Zu9Pd3NVb8VTGKkI3Q/edit?usp=sharing"",""五_通過(19位)!N3:N"")"),"ari*****yeh@gmail.com")</f>
        <v>ari*****yeh@gmail.com</v>
      </c>
      <c r="D3" s="6" t="str">
        <f>IFERROR(__xludf.DUMMYFUNCTION("IMPORTRANGE(""https://docs.google.com/spreadsheets/d/1AtUxug2OAe7N5XC0IO8rOe5n_Zu9Pd3NVb8VTGKkI3Q/edit?usp=sharing"",""五_通過(19位)!F3:F"")"),"國立臺北商業大學")</f>
        <v>國立臺北商業大學</v>
      </c>
      <c r="E3" s="6" t="str">
        <f>IFERROR(__xludf.DUMMYFUNCTION("IMPORTRANGE(""https://docs.google.com/spreadsheets/d/1AtUxug2OAe7N5XC0IO8rOe5n_Zu9Pd3NVb8VTGKkI3Q/edit?usp=sharing"",""五_通過(19位)!J3:J"")"),"五專")</f>
        <v>五專</v>
      </c>
      <c r="F3" s="6" t="str">
        <f>IFERROR(__xludf.DUMMYFUNCTION("IMPORTRANGE(""https://docs.google.com/spreadsheets/d/1AtUxug2OAe7N5XC0IO8rOe5n_Zu9Pd3NVb8VTGKkI3Q/edit?usp=sharing"",""五_通過(19位)!H3:H"")"),"專三")</f>
        <v>專三</v>
      </c>
      <c r="G3" s="6" t="str">
        <f>IFERROR(__xludf.DUMMYFUNCTION("IMPORTRANGE(""https://docs.google.com/spreadsheets/d/1AtUxug2OAe7N5XC0IO8rOe5n_Zu9Pd3NVb8VTGKkI3Q/edit?usp=sharing"",""五_通過(19位)!C3:C"")"),"★商品卡$1000")</f>
        <v>★商品卡$1000</v>
      </c>
      <c r="H3" s="8" t="str">
        <f>IFERROR(__xludf.DUMMYFUNCTION("IMPORTRANGE(""https://docs.google.com/spreadsheets/d/1AtUxug2OAe7N5XC0IO8rOe5n_Zu9Pd3NVb8VTGKkI3Q/edit?usp=sharing"",""五_通過(19位)!V3:V"")"),"")</f>
        <v/>
      </c>
    </row>
    <row r="4">
      <c r="A4" s="15" t="s">
        <v>13</v>
      </c>
      <c r="B4" s="9" t="str">
        <f>IFERROR(__xludf.DUMMYFUNCTION("""COMPUTED_VALUE"""),"曾O恩")</f>
        <v>曾O恩</v>
      </c>
      <c r="C4" s="9" t="str">
        <f>IFERROR(__xludf.DUMMYFUNCTION("""COMPUTED_VALUE"""),"lfe*****98@apps.ntpc.edu.tw")</f>
        <v>lfe*****98@apps.ntpc.edu.tw</v>
      </c>
      <c r="D4" s="9" t="str">
        <f>IFERROR(__xludf.DUMMYFUNCTION("""COMPUTED_VALUE"""),"馬偕學校財團法人馬偕醫護管理專科學校-三芝校區")</f>
        <v>馬偕學校財團法人馬偕醫護管理專科學校-三芝校區</v>
      </c>
      <c r="E4" s="9" t="str">
        <f>IFERROR(__xludf.DUMMYFUNCTION("""COMPUTED_VALUE"""),"五專")</f>
        <v>五專</v>
      </c>
      <c r="F4" s="9" t="str">
        <f>IFERROR(__xludf.DUMMYFUNCTION("""COMPUTED_VALUE"""),"專一")</f>
        <v>專一</v>
      </c>
      <c r="G4" s="9" t="str">
        <f>IFERROR(__xludf.DUMMYFUNCTION("""COMPUTED_VALUE"""),"○商品卡$500")</f>
        <v>○商品卡$500</v>
      </c>
      <c r="H4" s="11"/>
    </row>
    <row r="5">
      <c r="A5" s="15" t="s">
        <v>13</v>
      </c>
      <c r="B5" s="9" t="str">
        <f>IFERROR(__xludf.DUMMYFUNCTION("""COMPUTED_VALUE"""),"黃O穎")</f>
        <v>黃O穎</v>
      </c>
      <c r="C5" s="9" t="str">
        <f>IFERROR(__xludf.DUMMYFUNCTION("""COMPUTED_VALUE"""),"112*****7@stu.ukn.edu.tw")</f>
        <v>112*****7@stu.ukn.edu.tw</v>
      </c>
      <c r="D5" s="9" t="str">
        <f>IFERROR(__xludf.DUMMYFUNCTION("""COMPUTED_VALUE"""),"康寧學校財團法人康寧大學")</f>
        <v>康寧學校財團法人康寧大學</v>
      </c>
      <c r="E5" s="9" t="str">
        <f>IFERROR(__xludf.DUMMYFUNCTION("""COMPUTED_VALUE"""),"五專")</f>
        <v>五專</v>
      </c>
      <c r="F5" s="9" t="str">
        <f>IFERROR(__xludf.DUMMYFUNCTION("""COMPUTED_VALUE"""),"專三")</f>
        <v>專三</v>
      </c>
      <c r="G5" s="9" t="str">
        <f>IFERROR(__xludf.DUMMYFUNCTION("""COMPUTED_VALUE"""),"★商品卡$1000")</f>
        <v>★商品卡$1000</v>
      </c>
      <c r="H5" s="9"/>
    </row>
    <row r="6">
      <c r="A6" s="15" t="s">
        <v>13</v>
      </c>
      <c r="B6" s="9" t="str">
        <f>IFERROR(__xludf.DUMMYFUNCTION("""COMPUTED_VALUE"""),"盛O祐")</f>
        <v>盛O祐</v>
      </c>
      <c r="C6" s="9" t="str">
        <f>IFERROR(__xludf.DUMMYFUNCTION("""COMPUTED_VALUE"""),"113*****4@ctcn.edu.tw")</f>
        <v>113*****4@ctcn.edu.tw</v>
      </c>
      <c r="D6" s="9" t="str">
        <f>IFERROR(__xludf.DUMMYFUNCTION("""COMPUTED_VALUE"""),"耕莘健康管理專科學校-新店校區")</f>
        <v>耕莘健康管理專科學校-新店校區</v>
      </c>
      <c r="E6" s="9" t="str">
        <f>IFERROR(__xludf.DUMMYFUNCTION("""COMPUTED_VALUE"""),"五專")</f>
        <v>五專</v>
      </c>
      <c r="F6" s="9" t="str">
        <f>IFERROR(__xludf.DUMMYFUNCTION("""COMPUTED_VALUE"""),"專二")</f>
        <v>專二</v>
      </c>
      <c r="G6" s="9" t="str">
        <f>IFERROR(__xludf.DUMMYFUNCTION("""COMPUTED_VALUE"""),"★商品卡$1000")</f>
        <v>★商品卡$1000</v>
      </c>
      <c r="H6" s="9"/>
    </row>
    <row r="7">
      <c r="A7" s="15" t="s">
        <v>13</v>
      </c>
      <c r="B7" s="9" t="str">
        <f>IFERROR(__xludf.DUMMYFUNCTION("""COMPUTED_VALUE"""),"孫O程")</f>
        <v>孫O程</v>
      </c>
      <c r="C7" s="9" t="str">
        <f>IFERROR(__xludf.DUMMYFUNCTION("""COMPUTED_VALUE"""),"113*****7@ctcn.edu.tw")</f>
        <v>113*****7@ctcn.edu.tw</v>
      </c>
      <c r="D7" s="9" t="str">
        <f>IFERROR(__xludf.DUMMYFUNCTION("""COMPUTED_VALUE"""),"耕莘健康管理專科學校-新店校區")</f>
        <v>耕莘健康管理專科學校-新店校區</v>
      </c>
      <c r="E7" s="9" t="str">
        <f>IFERROR(__xludf.DUMMYFUNCTION("""COMPUTED_VALUE"""),"五專")</f>
        <v>五專</v>
      </c>
      <c r="F7" s="9" t="str">
        <f>IFERROR(__xludf.DUMMYFUNCTION("""COMPUTED_VALUE"""),"專二")</f>
        <v>專二</v>
      </c>
      <c r="G7" s="9" t="str">
        <f>IFERROR(__xludf.DUMMYFUNCTION("""COMPUTED_VALUE"""),"○商品卡$500")</f>
        <v>○商品卡$500</v>
      </c>
      <c r="H7" s="9"/>
    </row>
    <row r="8">
      <c r="A8" s="15" t="s">
        <v>13</v>
      </c>
      <c r="B8" s="9" t="str">
        <f>IFERROR(__xludf.DUMMYFUNCTION("""COMPUTED_VALUE"""),"杜O葶")</f>
        <v>杜O葶</v>
      </c>
      <c r="C8" s="9" t="str">
        <f>IFERROR(__xludf.DUMMYFUNCTION("""COMPUTED_VALUE"""),"113*****1@ctcn.edu.tw")</f>
        <v>113*****1@ctcn.edu.tw</v>
      </c>
      <c r="D8" s="9" t="str">
        <f>IFERROR(__xludf.DUMMYFUNCTION("""COMPUTED_VALUE"""),"耕莘健康管理專科學校-新店校區")</f>
        <v>耕莘健康管理專科學校-新店校區</v>
      </c>
      <c r="E8" s="9" t="str">
        <f>IFERROR(__xludf.DUMMYFUNCTION("""COMPUTED_VALUE"""),"五專")</f>
        <v>五專</v>
      </c>
      <c r="F8" s="9" t="str">
        <f>IFERROR(__xludf.DUMMYFUNCTION("""COMPUTED_VALUE"""),"專二")</f>
        <v>專二</v>
      </c>
      <c r="G8" s="9" t="str">
        <f>IFERROR(__xludf.DUMMYFUNCTION("""COMPUTED_VALUE"""),"★商品卡$1000")</f>
        <v>★商品卡$1000</v>
      </c>
      <c r="H8" s="9"/>
    </row>
    <row r="9">
      <c r="A9" s="15" t="s">
        <v>13</v>
      </c>
      <c r="B9" s="9" t="str">
        <f>IFERROR(__xludf.DUMMYFUNCTION("""COMPUTED_VALUE"""),"張O")</f>
        <v>張O</v>
      </c>
      <c r="C9" s="9" t="str">
        <f>IFERROR(__xludf.DUMMYFUNCTION("""COMPUTED_VALUE"""),"113*****7@ctcn.edu.tw")</f>
        <v>113*****7@ctcn.edu.tw</v>
      </c>
      <c r="D9" s="9" t="str">
        <f>IFERROR(__xludf.DUMMYFUNCTION("""COMPUTED_VALUE"""),"耕莘健康管理專科學校-新店校區")</f>
        <v>耕莘健康管理專科學校-新店校區</v>
      </c>
      <c r="E9" s="9" t="str">
        <f>IFERROR(__xludf.DUMMYFUNCTION("""COMPUTED_VALUE"""),"五專")</f>
        <v>五專</v>
      </c>
      <c r="F9" s="9" t="str">
        <f>IFERROR(__xludf.DUMMYFUNCTION("""COMPUTED_VALUE"""),"專二")</f>
        <v>專二</v>
      </c>
      <c r="G9" s="9" t="str">
        <f>IFERROR(__xludf.DUMMYFUNCTION("""COMPUTED_VALUE"""),"○商品卡$500")</f>
        <v>○商品卡$500</v>
      </c>
      <c r="H9" s="9"/>
    </row>
    <row r="10">
      <c r="A10" s="15" t="s">
        <v>13</v>
      </c>
      <c r="B10" s="9" t="str">
        <f>IFERROR(__xludf.DUMMYFUNCTION("""COMPUTED_VALUE"""),"張O綺")</f>
        <v>張O綺</v>
      </c>
      <c r="C10" s="9" t="str">
        <f>IFERROR(__xludf.DUMMYFUNCTION("""COMPUTED_VALUE"""),"113*****0@ctcn.edu.tw")</f>
        <v>113*****0@ctcn.edu.tw</v>
      </c>
      <c r="D10" s="9" t="str">
        <f>IFERROR(__xludf.DUMMYFUNCTION("""COMPUTED_VALUE"""),"耕莘健康管理專科學校-新店校區")</f>
        <v>耕莘健康管理專科學校-新店校區</v>
      </c>
      <c r="E10" s="9" t="str">
        <f>IFERROR(__xludf.DUMMYFUNCTION("""COMPUTED_VALUE"""),"五專")</f>
        <v>五專</v>
      </c>
      <c r="F10" s="9" t="str">
        <f>IFERROR(__xludf.DUMMYFUNCTION("""COMPUTED_VALUE"""),"專二")</f>
        <v>專二</v>
      </c>
      <c r="G10" s="9" t="str">
        <f>IFERROR(__xludf.DUMMYFUNCTION("""COMPUTED_VALUE"""),"★商品卡$1000")</f>
        <v>★商品卡$1000</v>
      </c>
      <c r="H10" s="9"/>
    </row>
    <row r="11">
      <c r="A11" s="15" t="s">
        <v>13</v>
      </c>
      <c r="B11" s="9" t="str">
        <f>IFERROR(__xludf.DUMMYFUNCTION("""COMPUTED_VALUE"""),"余O叡")</f>
        <v>余O叡</v>
      </c>
      <c r="C11" s="9" t="str">
        <f>IFERROR(__xludf.DUMMYFUNCTION("""COMPUTED_VALUE"""),"112*****9@ctcn.edu.tw")</f>
        <v>112*****9@ctcn.edu.tw</v>
      </c>
      <c r="D11" s="9" t="str">
        <f>IFERROR(__xludf.DUMMYFUNCTION("""COMPUTED_VALUE"""),"耕莘健康管理專科學校-新店校區")</f>
        <v>耕莘健康管理專科學校-新店校區</v>
      </c>
      <c r="E11" s="9" t="str">
        <f>IFERROR(__xludf.DUMMYFUNCTION("""COMPUTED_VALUE"""),"五專")</f>
        <v>五專</v>
      </c>
      <c r="F11" s="9" t="str">
        <f>IFERROR(__xludf.DUMMYFUNCTION("""COMPUTED_VALUE"""),"專三")</f>
        <v>專三</v>
      </c>
      <c r="G11" s="9" t="str">
        <f>IFERROR(__xludf.DUMMYFUNCTION("""COMPUTED_VALUE"""),"★商品卡$1000")</f>
        <v>★商品卡$1000</v>
      </c>
      <c r="H11" s="9"/>
    </row>
    <row r="12">
      <c r="A12" s="15" t="s">
        <v>13</v>
      </c>
      <c r="B12" s="9" t="str">
        <f>IFERROR(__xludf.DUMMYFUNCTION("""COMPUTED_VALUE"""),"張O宜")</f>
        <v>張O宜</v>
      </c>
      <c r="C12" s="9" t="str">
        <f>IFERROR(__xludf.DUMMYFUNCTION("""COMPUTED_VALUE"""),"112*****4@ctcn.edu.tw")</f>
        <v>112*****4@ctcn.edu.tw</v>
      </c>
      <c r="D12" s="9" t="str">
        <f>IFERROR(__xludf.DUMMYFUNCTION("""COMPUTED_VALUE"""),"耕莘健康管理專科學校-新店校區")</f>
        <v>耕莘健康管理專科學校-新店校區</v>
      </c>
      <c r="E12" s="9" t="str">
        <f>IFERROR(__xludf.DUMMYFUNCTION("""COMPUTED_VALUE"""),"五專")</f>
        <v>五專</v>
      </c>
      <c r="F12" s="9" t="str">
        <f>IFERROR(__xludf.DUMMYFUNCTION("""COMPUTED_VALUE"""),"專三")</f>
        <v>專三</v>
      </c>
      <c r="G12" s="9" t="str">
        <f>IFERROR(__xludf.DUMMYFUNCTION("""COMPUTED_VALUE"""),"○商品卡$500")</f>
        <v>○商品卡$500</v>
      </c>
      <c r="H12" s="9"/>
    </row>
    <row r="13">
      <c r="A13" s="15" t="s">
        <v>13</v>
      </c>
      <c r="B13" s="9" t="str">
        <f>IFERROR(__xludf.DUMMYFUNCTION("""COMPUTED_VALUE"""),"林O廷")</f>
        <v>林O廷</v>
      </c>
      <c r="C13" s="9" t="str">
        <f>IFERROR(__xludf.DUMMYFUNCTION("""COMPUTED_VALUE"""),"112*****0@ctcn.edu.tw")</f>
        <v>112*****0@ctcn.edu.tw</v>
      </c>
      <c r="D13" s="9" t="str">
        <f>IFERROR(__xludf.DUMMYFUNCTION("""COMPUTED_VALUE"""),"耕莘健康管理專科學校-新店校區")</f>
        <v>耕莘健康管理專科學校-新店校區</v>
      </c>
      <c r="E13" s="9" t="str">
        <f>IFERROR(__xludf.DUMMYFUNCTION("""COMPUTED_VALUE"""),"五專")</f>
        <v>五專</v>
      </c>
      <c r="F13" s="9" t="str">
        <f>IFERROR(__xludf.DUMMYFUNCTION("""COMPUTED_VALUE"""),"專三")</f>
        <v>專三</v>
      </c>
      <c r="G13" s="9" t="str">
        <f>IFERROR(__xludf.DUMMYFUNCTION("""COMPUTED_VALUE"""),"○商品卡$500")</f>
        <v>○商品卡$500</v>
      </c>
      <c r="H13" s="9"/>
    </row>
    <row r="14">
      <c r="A14" s="15" t="s">
        <v>13</v>
      </c>
      <c r="B14" s="9" t="str">
        <f>IFERROR(__xludf.DUMMYFUNCTION("""COMPUTED_VALUE"""),"吳O淇")</f>
        <v>吳O淇</v>
      </c>
      <c r="C14" s="9" t="str">
        <f>IFERROR(__xludf.DUMMYFUNCTION("""COMPUTED_VALUE"""),"thp*****thps.hc.edu.tw")</f>
        <v>thp*****thps.hc.edu.tw</v>
      </c>
      <c r="D14" s="9" t="str">
        <f>IFERROR(__xludf.DUMMYFUNCTION("""COMPUTED_VALUE"""),"馬偕學校財團法人馬偕醫護管理專科學校-三芝校區")</f>
        <v>馬偕學校財團法人馬偕醫護管理專科學校-三芝校區</v>
      </c>
      <c r="E14" s="9" t="str">
        <f>IFERROR(__xludf.DUMMYFUNCTION("""COMPUTED_VALUE"""),"五專")</f>
        <v>五專</v>
      </c>
      <c r="F14" s="9" t="str">
        <f>IFERROR(__xludf.DUMMYFUNCTION("""COMPUTED_VALUE"""),"專一")</f>
        <v>專一</v>
      </c>
      <c r="G14" s="9" t="str">
        <f>IFERROR(__xludf.DUMMYFUNCTION("""COMPUTED_VALUE"""),"★商品卡$1000")</f>
        <v>★商品卡$1000</v>
      </c>
      <c r="H14" s="9"/>
    </row>
    <row r="15">
      <c r="A15" s="15" t="s">
        <v>13</v>
      </c>
      <c r="B15" s="9" t="str">
        <f>IFERROR(__xludf.DUMMYFUNCTION("""COMPUTED_VALUE"""),"黃O")</f>
        <v>黃O</v>
      </c>
      <c r="C15" s="9" t="str">
        <f>IFERROR(__xludf.DUMMYFUNCTION("""COMPUTED_VALUE"""),"lal*****230962@gmail.com")</f>
        <v>lal*****230962@gmail.com</v>
      </c>
      <c r="D15" s="9" t="str">
        <f>IFERROR(__xludf.DUMMYFUNCTION("""COMPUTED_VALUE"""),"國立臺中科技大學")</f>
        <v>國立臺中科技大學</v>
      </c>
      <c r="E15" s="9" t="str">
        <f>IFERROR(__xludf.DUMMYFUNCTION("""COMPUTED_VALUE"""),"五專")</f>
        <v>五專</v>
      </c>
      <c r="F15" s="9" t="str">
        <f>IFERROR(__xludf.DUMMYFUNCTION("""COMPUTED_VALUE"""),"專二")</f>
        <v>專二</v>
      </c>
      <c r="G15" s="9" t="str">
        <f>IFERROR(__xludf.DUMMYFUNCTION("""COMPUTED_VALUE"""),"★商品卡$1000")</f>
        <v>★商品卡$1000</v>
      </c>
      <c r="H15" s="9"/>
    </row>
    <row r="16">
      <c r="A16" s="15" t="s">
        <v>13</v>
      </c>
      <c r="B16" s="9" t="str">
        <f>IFERROR(__xludf.DUMMYFUNCTION("""COMPUTED_VALUE"""),"潘O翎")</f>
        <v>潘O翎</v>
      </c>
      <c r="C16" s="9" t="str">
        <f>IFERROR(__xludf.DUMMYFUNCTION("""COMPUTED_VALUE"""),"hsu*****gmail.com")</f>
        <v>hsu*****gmail.com</v>
      </c>
      <c r="D16" s="9" t="str">
        <f>IFERROR(__xludf.DUMMYFUNCTION("""COMPUTED_VALUE"""),"國立臺中科技大學")</f>
        <v>國立臺中科技大學</v>
      </c>
      <c r="E16" s="9" t="str">
        <f>IFERROR(__xludf.DUMMYFUNCTION("""COMPUTED_VALUE"""),"五專")</f>
        <v>五專</v>
      </c>
      <c r="F16" s="9" t="str">
        <f>IFERROR(__xludf.DUMMYFUNCTION("""COMPUTED_VALUE"""),"專三")</f>
        <v>專三</v>
      </c>
      <c r="G16" s="9" t="str">
        <f>IFERROR(__xludf.DUMMYFUNCTION("""COMPUTED_VALUE"""),"○商品卡$500")</f>
        <v>○商品卡$500</v>
      </c>
      <c r="H16" s="9"/>
    </row>
    <row r="17">
      <c r="A17" s="15" t="s">
        <v>13</v>
      </c>
      <c r="B17" s="9" t="str">
        <f>IFERROR(__xludf.DUMMYFUNCTION("""COMPUTED_VALUE"""),"陳O達")</f>
        <v>陳O達</v>
      </c>
      <c r="C17" s="9" t="str">
        <f>IFERROR(__xludf.DUMMYFUNCTION("""COMPUTED_VALUE"""),"110*****jjh.ntct.edu.tw")</f>
        <v>110*****jjh.ntct.edu.tw</v>
      </c>
      <c r="D17" s="9" t="str">
        <f>IFERROR(__xludf.DUMMYFUNCTION("""COMPUTED_VALUE"""),"國立虎尾科技大學")</f>
        <v>國立虎尾科技大學</v>
      </c>
      <c r="E17" s="9" t="str">
        <f>IFERROR(__xludf.DUMMYFUNCTION("""COMPUTED_VALUE"""),"五專")</f>
        <v>五專</v>
      </c>
      <c r="F17" s="9" t="str">
        <f>IFERROR(__xludf.DUMMYFUNCTION("""COMPUTED_VALUE"""),"專二")</f>
        <v>專二</v>
      </c>
      <c r="G17" s="9" t="str">
        <f>IFERROR(__xludf.DUMMYFUNCTION("""COMPUTED_VALUE"""),"○商品卡$500")</f>
        <v>○商品卡$500</v>
      </c>
      <c r="H17" s="9"/>
    </row>
    <row r="18">
      <c r="A18" s="15" t="s">
        <v>13</v>
      </c>
      <c r="B18" s="9" t="str">
        <f>IFERROR(__xludf.DUMMYFUNCTION("""COMPUTED_VALUE"""),"薛O涵")</f>
        <v>薛O涵</v>
      </c>
      <c r="C18" s="9" t="str">
        <f>IFERROR(__xludf.DUMMYFUNCTION("""COMPUTED_VALUE"""),"5b3*****@stust.edu.tw")</f>
        <v>5b3*****@stust.edu.tw</v>
      </c>
      <c r="D18" s="9" t="str">
        <f>IFERROR(__xludf.DUMMYFUNCTION("""COMPUTED_VALUE"""),"南臺學校財團法人南臺科技大學")</f>
        <v>南臺學校財團法人南臺科技大學</v>
      </c>
      <c r="E18" s="9" t="str">
        <f>IFERROR(__xludf.DUMMYFUNCTION("""COMPUTED_VALUE"""),"五專")</f>
        <v>五專</v>
      </c>
      <c r="F18" s="9" t="str">
        <f>IFERROR(__xludf.DUMMYFUNCTION("""COMPUTED_VALUE"""),"專二")</f>
        <v>專二</v>
      </c>
      <c r="G18" s="9" t="str">
        <f>IFERROR(__xludf.DUMMYFUNCTION("""COMPUTED_VALUE"""),"○商品卡$500")</f>
        <v>○商品卡$500</v>
      </c>
      <c r="H18" s="9"/>
    </row>
    <row r="19">
      <c r="A19" s="15" t="s">
        <v>13</v>
      </c>
      <c r="B19" s="9" t="str">
        <f>IFERROR(__xludf.DUMMYFUNCTION("""COMPUTED_VALUE"""),"黃O陽")</f>
        <v>黃O陽</v>
      </c>
      <c r="C19" s="9" t="str">
        <f>IFERROR(__xludf.DUMMYFUNCTION("""COMPUTED_VALUE"""),"iyl*****27iy@gmail.com")</f>
        <v>iyl*****27iy@gmail.com</v>
      </c>
      <c r="D19" s="9" t="str">
        <f>IFERROR(__xludf.DUMMYFUNCTION("""COMPUTED_VALUE"""),"文藻學校財團法人文藻外語大學")</f>
        <v>文藻學校財團法人文藻外語大學</v>
      </c>
      <c r="E19" s="9" t="str">
        <f>IFERROR(__xludf.DUMMYFUNCTION("""COMPUTED_VALUE"""),"五專")</f>
        <v>五專</v>
      </c>
      <c r="F19" s="9" t="str">
        <f>IFERROR(__xludf.DUMMYFUNCTION("""COMPUTED_VALUE"""),"專二")</f>
        <v>專二</v>
      </c>
      <c r="G19" s="9" t="str">
        <f>IFERROR(__xludf.DUMMYFUNCTION("""COMPUTED_VALUE"""),"★商品卡$1000")</f>
        <v>★商品卡$1000</v>
      </c>
      <c r="H19" s="9"/>
    </row>
    <row r="20">
      <c r="A20" s="15" t="s">
        <v>13</v>
      </c>
      <c r="B20" s="9" t="str">
        <f>IFERROR(__xludf.DUMMYFUNCTION("""COMPUTED_VALUE"""),"張O洲")</f>
        <v>張O洲</v>
      </c>
      <c r="C20" s="9" t="str">
        <f>IFERROR(__xludf.DUMMYFUNCTION("""COMPUTED_VALUE"""),"kin*****chang@mail.edu.tw")</f>
        <v>kin*****chang@mail.edu.tw</v>
      </c>
      <c r="D20" s="9" t="str">
        <f>IFERROR(__xludf.DUMMYFUNCTION("""COMPUTED_VALUE"""),"國立高雄科技大學")</f>
        <v>國立高雄科技大學</v>
      </c>
      <c r="E20" s="9" t="str">
        <f>IFERROR(__xludf.DUMMYFUNCTION("""COMPUTED_VALUE"""),"五專")</f>
        <v>五專</v>
      </c>
      <c r="F20" s="9" t="str">
        <f>IFERROR(__xludf.DUMMYFUNCTION("""COMPUTED_VALUE"""),"專二")</f>
        <v>專二</v>
      </c>
      <c r="G20" s="9" t="str">
        <f>IFERROR(__xludf.DUMMYFUNCTION("""COMPUTED_VALUE"""),"○商品卡$500")</f>
        <v>○商品卡$500</v>
      </c>
      <c r="H20" s="9"/>
    </row>
    <row r="21">
      <c r="A21" s="15" t="s">
        <v>13</v>
      </c>
      <c r="B21" s="9" t="str">
        <f>IFERROR(__xludf.DUMMYFUNCTION("""COMPUTED_VALUE"""),"謝O靜")</f>
        <v>謝O靜</v>
      </c>
      <c r="C21" s="9" t="str">
        <f>IFERROR(__xludf.DUMMYFUNCTION("""COMPUTED_VALUE"""),"605*****ky@gmail.com")</f>
        <v>605*****ky@gmail.com</v>
      </c>
      <c r="D21" s="9" t="str">
        <f>IFERROR(__xludf.DUMMYFUNCTION("""COMPUTED_VALUE"""),"樹人醫護管理專科學校")</f>
        <v>樹人醫護管理專科學校</v>
      </c>
      <c r="E21" s="9" t="str">
        <f>IFERROR(__xludf.DUMMYFUNCTION("""COMPUTED_VALUE"""),"五專")</f>
        <v>五專</v>
      </c>
      <c r="F21" s="9" t="str">
        <f>IFERROR(__xludf.DUMMYFUNCTION("""COMPUTED_VALUE"""),"專二")</f>
        <v>專二</v>
      </c>
      <c r="G21" s="9" t="str">
        <f>IFERROR(__xludf.DUMMYFUNCTION("""COMPUTED_VALUE"""),"★商品卡$1000")</f>
        <v>★商品卡$1000</v>
      </c>
      <c r="H21" s="9"/>
    </row>
  </sheetData>
  <mergeCells count="1">
    <mergeCell ref="A1:H1"/>
  </mergeCells>
  <drawing r:id="rId1"/>
</worksheet>
</file>